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mc:AlternateContent xmlns:mc="http://schemas.openxmlformats.org/markup-compatibility/2006">
    <mc:Choice Requires="x15">
      <x15ac:absPath xmlns:x15ac="http://schemas.microsoft.com/office/spreadsheetml/2010/11/ac" url="https://srbank.sharepoint.com/sites/Offentligkvartalsrapportering/APM2/2022/Q4 2022 APM/"/>
    </mc:Choice>
  </mc:AlternateContent>
  <xr:revisionPtr revIDLastSave="1458" documentId="8_{EF0CCF0A-EFFA-45A1-97CE-DFB5E5AAA226}" xr6:coauthVersionLast="47" xr6:coauthVersionMax="47" xr10:uidLastSave="{36120538-E3BA-4CA0-83B5-2FB8D8734075}"/>
  <bookViews>
    <workbookView xWindow="28680" yWindow="-120" windowWidth="29040" windowHeight="17640" xr2:uid="{00000000-000D-0000-FFFF-FFFF00000000}"/>
  </bookViews>
  <sheets>
    <sheet name="APM definisjoner" sheetId="3" r:id="rId1"/>
    <sheet name="APM utregning" sheetId="4" r:id="rId2"/>
  </sheets>
  <definedNames>
    <definedName name="_AMO_UniqueIdentifier" hidden="1">"'ea146410-0ba0-4315-a76f-efd61b1e6fa7'"</definedName>
    <definedName name="_xlnm.Print_Area" localSheetId="0">'APM definisjoner'!$A$1:$B$28</definedName>
    <definedName name="_xlnm.Print_Area" localSheetId="1">'APM utregning'!$A$1:$AP$146</definedName>
    <definedName name="_xlnm.Print_Titles" localSheetId="0">'APM definisjoner'!$4:$4</definedName>
    <definedName name="_xlnm.Print_Titles" localSheetId="1">'APM utregning'!$A:$A,'APM utregning'!$1:$1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23" i="4" l="1"/>
  <c r="O23" i="4"/>
  <c r="M23" i="4"/>
  <c r="L23" i="4"/>
  <c r="K23" i="4"/>
  <c r="J23" i="4"/>
  <c r="I23" i="4"/>
  <c r="G23" i="4"/>
  <c r="E23" i="4"/>
  <c r="C23" i="4"/>
  <c r="P22" i="4"/>
  <c r="N22" i="4"/>
  <c r="L22" i="4"/>
  <c r="J22" i="4"/>
  <c r="H22" i="4"/>
  <c r="F22" i="4"/>
  <c r="D22" i="4"/>
  <c r="B22" i="4"/>
  <c r="P21" i="4"/>
  <c r="P23" i="4" s="1"/>
  <c r="N21" i="4"/>
  <c r="N23" i="4" s="1"/>
  <c r="L21" i="4"/>
  <c r="J21" i="4"/>
  <c r="H21" i="4"/>
  <c r="H23" i="4" s="1"/>
  <c r="F21" i="4"/>
  <c r="F23" i="4" s="1"/>
  <c r="D21" i="4"/>
  <c r="D23" i="4" s="1"/>
  <c r="B21" i="4"/>
  <c r="B23" i="4" s="1"/>
  <c r="H53" i="4" l="1"/>
  <c r="J101" i="4" l="1"/>
  <c r="B69" i="4"/>
  <c r="C104" i="4" s="1"/>
  <c r="C101" i="4"/>
  <c r="B101" i="4" s="1"/>
  <c r="B102" i="4" s="1"/>
  <c r="C17" i="4" l="1"/>
  <c r="C18" i="4"/>
  <c r="T48" i="4"/>
  <c r="C19" i="4" l="1"/>
  <c r="B18" i="4"/>
  <c r="B3" i="4" l="1"/>
  <c r="B7" i="4"/>
  <c r="C102" i="4"/>
  <c r="C105" i="4" s="1"/>
  <c r="E102" i="4"/>
  <c r="K102" i="4"/>
  <c r="C60" i="4" l="1"/>
  <c r="B144" i="4"/>
  <c r="C140" i="4"/>
  <c r="B134" i="4"/>
  <c r="B128" i="4"/>
  <c r="B124" i="4"/>
  <c r="B118" i="4"/>
  <c r="B114" i="4"/>
  <c r="B104" i="4"/>
  <c r="B96" i="4"/>
  <c r="B93" i="4"/>
  <c r="B92" i="4"/>
  <c r="B94" i="4" s="1"/>
  <c r="B87" i="4"/>
  <c r="B88" i="4" s="1"/>
  <c r="B90" i="4" s="1"/>
  <c r="B74" i="4"/>
  <c r="B73" i="4"/>
  <c r="B75" i="4" s="1"/>
  <c r="B81" i="4" s="1"/>
  <c r="B71" i="4"/>
  <c r="B120" i="4" s="1"/>
  <c r="C64" i="4"/>
  <c r="C66" i="4" s="1"/>
  <c r="B63" i="4"/>
  <c r="B62" i="4"/>
  <c r="B57" i="4"/>
  <c r="B56" i="4"/>
  <c r="C52" i="4"/>
  <c r="C54" i="4" s="1"/>
  <c r="B51" i="4"/>
  <c r="B50" i="4"/>
  <c r="C48" i="4"/>
  <c r="B45" i="4"/>
  <c r="B44" i="4"/>
  <c r="C40" i="4"/>
  <c r="C42" i="4" s="1"/>
  <c r="B39" i="4"/>
  <c r="B38" i="4"/>
  <c r="C34" i="4"/>
  <c r="C36" i="4" s="1"/>
  <c r="B33" i="4"/>
  <c r="B32" i="4"/>
  <c r="C30" i="4"/>
  <c r="B27" i="4"/>
  <c r="B25" i="4"/>
  <c r="B30" i="4" s="1"/>
  <c r="B17" i="4"/>
  <c r="C9" i="4"/>
  <c r="B8" i="4"/>
  <c r="C5" i="4"/>
  <c r="B4" i="4"/>
  <c r="E30" i="4"/>
  <c r="H35" i="4"/>
  <c r="D38" i="4"/>
  <c r="B52" i="4" l="1"/>
  <c r="B54" i="4" s="1"/>
  <c r="B34" i="4"/>
  <c r="B36" i="4" s="1"/>
  <c r="B5" i="4"/>
  <c r="B138" i="4" s="1"/>
  <c r="B105" i="4"/>
  <c r="B9" i="4"/>
  <c r="C138" i="4"/>
  <c r="C141" i="4" s="1"/>
  <c r="C142" i="4" s="1"/>
  <c r="B116" i="4"/>
  <c r="B77" i="4"/>
  <c r="B130" i="4"/>
  <c r="B64" i="4"/>
  <c r="B66" i="4" s="1"/>
  <c r="B58" i="4"/>
  <c r="B60" i="4" s="1"/>
  <c r="B46" i="4"/>
  <c r="B48" i="4" s="1"/>
  <c r="B40" i="4"/>
  <c r="B42" i="4" s="1"/>
  <c r="B19" i="4"/>
  <c r="B126" i="4"/>
  <c r="C13" i="4"/>
  <c r="B97" i="4"/>
  <c r="B98" i="4" s="1"/>
  <c r="D87" i="4"/>
  <c r="D88" i="4" s="1"/>
  <c r="D90" i="4" s="1"/>
  <c r="D3" i="4"/>
  <c r="D144" i="4"/>
  <c r="E140" i="4"/>
  <c r="D134" i="4"/>
  <c r="D128" i="4"/>
  <c r="D124" i="4"/>
  <c r="D118" i="4"/>
  <c r="D114" i="4"/>
  <c r="E104" i="4"/>
  <c r="E105" i="4" s="1"/>
  <c r="D104" i="4"/>
  <c r="D101" i="4"/>
  <c r="D102" i="4" s="1"/>
  <c r="D96" i="4"/>
  <c r="D93" i="4"/>
  <c r="D92" i="4"/>
  <c r="D74" i="4"/>
  <c r="D73" i="4"/>
  <c r="D71" i="4"/>
  <c r="C107" i="4" s="1"/>
  <c r="C108" i="4" s="1"/>
  <c r="E64" i="4"/>
  <c r="E66" i="4" s="1"/>
  <c r="D63" i="4"/>
  <c r="D62" i="4"/>
  <c r="E58" i="4"/>
  <c r="E60" i="4" s="1"/>
  <c r="D57" i="4"/>
  <c r="D56" i="4"/>
  <c r="E52" i="4"/>
  <c r="E54" i="4" s="1"/>
  <c r="D51" i="4"/>
  <c r="D50" i="4"/>
  <c r="E48" i="4"/>
  <c r="D45" i="4"/>
  <c r="D44" i="4"/>
  <c r="E40" i="4"/>
  <c r="E42" i="4" s="1"/>
  <c r="D39" i="4"/>
  <c r="E34" i="4"/>
  <c r="E36" i="4" s="1"/>
  <c r="D33" i="4"/>
  <c r="D32" i="4"/>
  <c r="D27" i="4"/>
  <c r="D25" i="4"/>
  <c r="D30" i="4" s="1"/>
  <c r="E19" i="4"/>
  <c r="D18" i="4"/>
  <c r="D17" i="4"/>
  <c r="E9" i="4"/>
  <c r="D8" i="4"/>
  <c r="D7" i="4"/>
  <c r="E5" i="4"/>
  <c r="D4" i="4"/>
  <c r="G102" i="4"/>
  <c r="O102" i="4"/>
  <c r="O104" i="4"/>
  <c r="G104" i="4"/>
  <c r="B136" i="4" l="1"/>
  <c r="B145" i="4" s="1"/>
  <c r="B146" i="4" s="1"/>
  <c r="G105" i="4"/>
  <c r="D94" i="4"/>
  <c r="C11" i="4"/>
  <c r="C14" i="4" s="1"/>
  <c r="C15" i="4" s="1"/>
  <c r="B141" i="4"/>
  <c r="B142" i="4" s="1"/>
  <c r="B13" i="4"/>
  <c r="O105" i="4"/>
  <c r="D52" i="4"/>
  <c r="D54" i="4" s="1"/>
  <c r="D46" i="4"/>
  <c r="D48" i="4" s="1"/>
  <c r="D34" i="4"/>
  <c r="D36" i="4" s="1"/>
  <c r="D130" i="4"/>
  <c r="D19" i="4"/>
  <c r="D5" i="4"/>
  <c r="E138" i="4"/>
  <c r="E141" i="4" s="1"/>
  <c r="E142" i="4" s="1"/>
  <c r="D75" i="4"/>
  <c r="D81" i="4" s="1"/>
  <c r="D126" i="4"/>
  <c r="D77" i="4"/>
  <c r="D64" i="4"/>
  <c r="D66" i="4" s="1"/>
  <c r="D58" i="4"/>
  <c r="D60" i="4" s="1"/>
  <c r="D40" i="4"/>
  <c r="D42" i="4" s="1"/>
  <c r="D9" i="4"/>
  <c r="D136" i="4" s="1"/>
  <c r="D145" i="4" s="1"/>
  <c r="D146" i="4" s="1"/>
  <c r="D105" i="4"/>
  <c r="D116" i="4"/>
  <c r="E13" i="4"/>
  <c r="D97" i="4"/>
  <c r="D98" i="4" s="1"/>
  <c r="D120" i="4"/>
  <c r="V18" i="4"/>
  <c r="T18" i="4"/>
  <c r="R18" i="4"/>
  <c r="P18" i="4"/>
  <c r="N18" i="4"/>
  <c r="L18" i="4"/>
  <c r="J18" i="4"/>
  <c r="H18" i="4"/>
  <c r="F18" i="4"/>
  <c r="V17" i="4"/>
  <c r="T17" i="4"/>
  <c r="R17" i="4"/>
  <c r="P17" i="4"/>
  <c r="N17" i="4"/>
  <c r="L17" i="4"/>
  <c r="J17" i="4"/>
  <c r="H17" i="4"/>
  <c r="F17" i="4"/>
  <c r="H25" i="4"/>
  <c r="D138" i="4" l="1"/>
  <c r="D141" i="4" s="1"/>
  <c r="D142" i="4" s="1"/>
  <c r="D13" i="4"/>
  <c r="H28" i="4"/>
  <c r="F4" i="4" l="1"/>
  <c r="F144" i="4" l="1"/>
  <c r="F87" i="4"/>
  <c r="F88" i="4" s="1"/>
  <c r="F90" i="4" s="1"/>
  <c r="F134" i="4"/>
  <c r="F128" i="4"/>
  <c r="F124" i="4"/>
  <c r="F118" i="4"/>
  <c r="F114" i="4"/>
  <c r="F104" i="4"/>
  <c r="F101" i="4"/>
  <c r="F102" i="4" s="1"/>
  <c r="F96" i="4"/>
  <c r="F93" i="4"/>
  <c r="F92" i="4"/>
  <c r="F74" i="4"/>
  <c r="F73" i="4"/>
  <c r="F71" i="4"/>
  <c r="G64" i="4"/>
  <c r="G66" i="4" s="1"/>
  <c r="F63" i="4"/>
  <c r="F62" i="4"/>
  <c r="G58" i="4"/>
  <c r="G60" i="4" s="1"/>
  <c r="F57" i="4"/>
  <c r="F56" i="4"/>
  <c r="G52" i="4"/>
  <c r="G54" i="4" s="1"/>
  <c r="F51" i="4"/>
  <c r="F50" i="4"/>
  <c r="G48" i="4"/>
  <c r="F45" i="4"/>
  <c r="F44" i="4"/>
  <c r="G40" i="4"/>
  <c r="G42" i="4" s="1"/>
  <c r="F39" i="4"/>
  <c r="F38" i="4"/>
  <c r="G34" i="4"/>
  <c r="G36" i="4" s="1"/>
  <c r="F33" i="4"/>
  <c r="F32" i="4"/>
  <c r="G30" i="4"/>
  <c r="F27" i="4"/>
  <c r="F25" i="4"/>
  <c r="F30" i="4" s="1"/>
  <c r="G19" i="4"/>
  <c r="G9" i="4"/>
  <c r="E11" i="4" s="1"/>
  <c r="E14" i="4" s="1"/>
  <c r="E15" i="4" s="1"/>
  <c r="F8" i="4"/>
  <c r="F7" i="4"/>
  <c r="G5" i="4"/>
  <c r="G13" i="4" s="1"/>
  <c r="F3" i="4"/>
  <c r="F5" i="4" s="1"/>
  <c r="F94" i="4" l="1"/>
  <c r="F75" i="4"/>
  <c r="F81" i="4" s="1"/>
  <c r="F105" i="4"/>
  <c r="E107" i="4"/>
  <c r="E108" i="4" s="1"/>
  <c r="F138" i="4"/>
  <c r="F141" i="4" s="1"/>
  <c r="F142" i="4" s="1"/>
  <c r="G138" i="4"/>
  <c r="G141" i="4" s="1"/>
  <c r="G142" i="4" s="1"/>
  <c r="F58" i="4"/>
  <c r="F60" i="4" s="1"/>
  <c r="F52" i="4"/>
  <c r="F54" i="4" s="1"/>
  <c r="F126" i="4"/>
  <c r="F77" i="4"/>
  <c r="F130" i="4"/>
  <c r="F64" i="4"/>
  <c r="F66" i="4" s="1"/>
  <c r="F46" i="4"/>
  <c r="F48" i="4" s="1"/>
  <c r="F40" i="4"/>
  <c r="F42" i="4" s="1"/>
  <c r="F34" i="4"/>
  <c r="F36" i="4" s="1"/>
  <c r="F19" i="4"/>
  <c r="F9" i="4"/>
  <c r="F13" i="4"/>
  <c r="F116" i="4"/>
  <c r="F97" i="4"/>
  <c r="F98" i="4" s="1"/>
  <c r="F120" i="4"/>
  <c r="F136" i="4" l="1"/>
  <c r="F145" i="4" s="1"/>
  <c r="F146" i="4" s="1"/>
  <c r="H7" i="4"/>
  <c r="H144" i="4"/>
  <c r="H128" i="4"/>
  <c r="H124" i="4"/>
  <c r="H118" i="4"/>
  <c r="H114" i="4"/>
  <c r="H104" i="4"/>
  <c r="I104" i="4" s="1"/>
  <c r="I102" i="4"/>
  <c r="H101" i="4"/>
  <c r="H102" i="4" s="1"/>
  <c r="H96" i="4"/>
  <c r="H93" i="4"/>
  <c r="H92" i="4"/>
  <c r="H94" i="4" s="1"/>
  <c r="H87" i="4"/>
  <c r="H88" i="4" s="1"/>
  <c r="H90" i="4" s="1"/>
  <c r="H74" i="4"/>
  <c r="H73" i="4"/>
  <c r="H71" i="4"/>
  <c r="D107" i="4" s="1"/>
  <c r="D108" i="4" s="1"/>
  <c r="H65" i="4"/>
  <c r="I64" i="4"/>
  <c r="I66" i="4" s="1"/>
  <c r="H63" i="4"/>
  <c r="H62" i="4"/>
  <c r="H64" i="4" s="1"/>
  <c r="H59" i="4"/>
  <c r="I58" i="4"/>
  <c r="I60" i="4" s="1"/>
  <c r="H57" i="4"/>
  <c r="H56" i="4"/>
  <c r="I52" i="4"/>
  <c r="I54" i="4" s="1"/>
  <c r="H51" i="4"/>
  <c r="H50" i="4"/>
  <c r="H47" i="4"/>
  <c r="I48" i="4"/>
  <c r="H45" i="4"/>
  <c r="H44" i="4"/>
  <c r="H41" i="4"/>
  <c r="I42" i="4"/>
  <c r="H39" i="4"/>
  <c r="H38" i="4"/>
  <c r="I34" i="4"/>
  <c r="I36" i="4" s="1"/>
  <c r="H33" i="4"/>
  <c r="H32" i="4"/>
  <c r="I30" i="4"/>
  <c r="H27" i="4"/>
  <c r="H30" i="4"/>
  <c r="I19" i="4"/>
  <c r="I9" i="4"/>
  <c r="G11" i="4" s="1"/>
  <c r="G14" i="4" s="1"/>
  <c r="G15" i="4" s="1"/>
  <c r="H8" i="4"/>
  <c r="I5" i="4"/>
  <c r="I13" i="4" s="1"/>
  <c r="H4" i="4"/>
  <c r="H3" i="4"/>
  <c r="J3" i="4"/>
  <c r="H66" i="4" l="1"/>
  <c r="H75" i="4"/>
  <c r="H81" i="4" s="1"/>
  <c r="H116" i="4"/>
  <c r="G107" i="4"/>
  <c r="G108" i="4" s="1"/>
  <c r="H5" i="4"/>
  <c r="H13" i="4" s="1"/>
  <c r="H34" i="4"/>
  <c r="H36" i="4" s="1"/>
  <c r="H46" i="4"/>
  <c r="H48" i="4" s="1"/>
  <c r="H105" i="4"/>
  <c r="I105" i="4"/>
  <c r="H58" i="4"/>
  <c r="H60" i="4" s="1"/>
  <c r="H52" i="4"/>
  <c r="H54" i="4" s="1"/>
  <c r="H40" i="4"/>
  <c r="H42" i="4" s="1"/>
  <c r="H19" i="4"/>
  <c r="H9" i="4"/>
  <c r="I138" i="4"/>
  <c r="H138" i="4"/>
  <c r="H141" i="4" s="1"/>
  <c r="I141" i="4" s="1"/>
  <c r="I142" i="4" s="1"/>
  <c r="H126" i="4"/>
  <c r="H120" i="4"/>
  <c r="H77" i="4"/>
  <c r="H97" i="4"/>
  <c r="H98" i="4" s="1"/>
  <c r="H130" i="4"/>
  <c r="H136" i="4" l="1"/>
  <c r="H145" i="4" s="1"/>
  <c r="H146" i="4" s="1"/>
  <c r="R124" i="4"/>
  <c r="H142" i="4" l="1"/>
  <c r="O30" i="4" l="1"/>
  <c r="M30" i="4"/>
  <c r="K30" i="4"/>
  <c r="J134" i="4" l="1"/>
  <c r="J144" i="4" l="1"/>
  <c r="K140" i="4"/>
  <c r="J128" i="4"/>
  <c r="J124" i="4"/>
  <c r="J118" i="4"/>
  <c r="J114" i="4"/>
  <c r="K104" i="4"/>
  <c r="J104" i="4"/>
  <c r="J102" i="4"/>
  <c r="J96" i="4"/>
  <c r="J93" i="4"/>
  <c r="J92" i="4"/>
  <c r="J87" i="4"/>
  <c r="J88" i="4" s="1"/>
  <c r="J90" i="4" s="1"/>
  <c r="J74" i="4"/>
  <c r="J73" i="4"/>
  <c r="J71" i="4"/>
  <c r="K64" i="4"/>
  <c r="K66" i="4" s="1"/>
  <c r="J63" i="4"/>
  <c r="J62" i="4"/>
  <c r="J64" i="4" s="1"/>
  <c r="J66" i="4" s="1"/>
  <c r="K58" i="4"/>
  <c r="K60" i="4" s="1"/>
  <c r="J57" i="4"/>
  <c r="J56" i="4"/>
  <c r="K52" i="4"/>
  <c r="K54" i="4" s="1"/>
  <c r="J51" i="4"/>
  <c r="J50" i="4"/>
  <c r="K48" i="4"/>
  <c r="J45" i="4"/>
  <c r="J44" i="4"/>
  <c r="K40" i="4"/>
  <c r="K42" i="4" s="1"/>
  <c r="J39" i="4"/>
  <c r="J38" i="4"/>
  <c r="K34" i="4"/>
  <c r="K36" i="4" s="1"/>
  <c r="J33" i="4"/>
  <c r="J32" i="4"/>
  <c r="J27" i="4"/>
  <c r="J25" i="4"/>
  <c r="J30" i="4" s="1"/>
  <c r="K19" i="4"/>
  <c r="K9" i="4"/>
  <c r="I11" i="4" s="1"/>
  <c r="I14" i="4" s="1"/>
  <c r="I15" i="4" s="1"/>
  <c r="J8" i="4"/>
  <c r="J7" i="4"/>
  <c r="K5" i="4"/>
  <c r="K138" i="4" s="1"/>
  <c r="K141" i="4" s="1"/>
  <c r="P56" i="4"/>
  <c r="P62" i="4"/>
  <c r="P65" i="4"/>
  <c r="P59" i="4"/>
  <c r="AF59" i="4"/>
  <c r="X59" i="4"/>
  <c r="AG58" i="4"/>
  <c r="AG60" i="4" s="1"/>
  <c r="AE58" i="4"/>
  <c r="AE60" i="4" s="1"/>
  <c r="AC58" i="4"/>
  <c r="AC60" i="4" s="1"/>
  <c r="AA58" i="4"/>
  <c r="AA60" i="4" s="1"/>
  <c r="Y58" i="4"/>
  <c r="Y60" i="4" s="1"/>
  <c r="W58" i="4"/>
  <c r="W60" i="4" s="1"/>
  <c r="U58" i="4"/>
  <c r="U60" i="4" s="1"/>
  <c r="S58" i="4"/>
  <c r="S60" i="4" s="1"/>
  <c r="Q58" i="4"/>
  <c r="Q60" i="4" s="1"/>
  <c r="O58" i="4"/>
  <c r="O60" i="4" s="1"/>
  <c r="M58" i="4"/>
  <c r="M60" i="4" s="1"/>
  <c r="AF57" i="4"/>
  <c r="AD57" i="4"/>
  <c r="AB57" i="4"/>
  <c r="Z57" i="4"/>
  <c r="X57" i="4"/>
  <c r="V57" i="4"/>
  <c r="T57" i="4"/>
  <c r="R57" i="4"/>
  <c r="P57" i="4"/>
  <c r="N57" i="4"/>
  <c r="L57" i="4"/>
  <c r="AF56" i="4"/>
  <c r="AD56" i="4"/>
  <c r="AB56" i="4"/>
  <c r="Z56" i="4"/>
  <c r="X56" i="4"/>
  <c r="V56" i="4"/>
  <c r="T56" i="4"/>
  <c r="R56" i="4"/>
  <c r="N56" i="4"/>
  <c r="L56" i="4"/>
  <c r="N63" i="4"/>
  <c r="P63" i="4"/>
  <c r="R63" i="4"/>
  <c r="T63" i="4"/>
  <c r="X63" i="4"/>
  <c r="Z63" i="4"/>
  <c r="AB63" i="4"/>
  <c r="AD63" i="4"/>
  <c r="AF63" i="4"/>
  <c r="P53" i="4"/>
  <c r="P50" i="4"/>
  <c r="P51" i="4"/>
  <c r="R51" i="4"/>
  <c r="T51" i="4"/>
  <c r="X51" i="4"/>
  <c r="Z51" i="4"/>
  <c r="AB51" i="4"/>
  <c r="AD51" i="4"/>
  <c r="AF51" i="4"/>
  <c r="P47" i="4"/>
  <c r="P45" i="4"/>
  <c r="P44" i="4"/>
  <c r="R45" i="4"/>
  <c r="X45" i="4"/>
  <c r="Z45" i="4"/>
  <c r="AB45" i="4"/>
  <c r="AD45" i="4"/>
  <c r="AF45" i="4"/>
  <c r="AF41" i="4"/>
  <c r="X41" i="4"/>
  <c r="P41" i="4"/>
  <c r="AG40" i="4"/>
  <c r="AG42" i="4" s="1"/>
  <c r="AE40" i="4"/>
  <c r="AE42" i="4" s="1"/>
  <c r="AC40" i="4"/>
  <c r="AC42" i="4" s="1"/>
  <c r="AA40" i="4"/>
  <c r="AA42" i="4" s="1"/>
  <c r="Y40" i="4"/>
  <c r="Y42" i="4" s="1"/>
  <c r="W40" i="4"/>
  <c r="W42" i="4" s="1"/>
  <c r="U40" i="4"/>
  <c r="U42" i="4" s="1"/>
  <c r="S40" i="4"/>
  <c r="S42" i="4" s="1"/>
  <c r="Q40" i="4"/>
  <c r="Q42" i="4" s="1"/>
  <c r="O40" i="4"/>
  <c r="O42" i="4" s="1"/>
  <c r="M40" i="4"/>
  <c r="M42" i="4" s="1"/>
  <c r="AF39" i="4"/>
  <c r="AD39" i="4"/>
  <c r="AB39" i="4"/>
  <c r="Z39" i="4"/>
  <c r="X39" i="4"/>
  <c r="V39" i="4"/>
  <c r="T39" i="4"/>
  <c r="R39" i="4"/>
  <c r="P39" i="4"/>
  <c r="N39" i="4"/>
  <c r="L39" i="4"/>
  <c r="AF38" i="4"/>
  <c r="AD38" i="4"/>
  <c r="AB38" i="4"/>
  <c r="Z38" i="4"/>
  <c r="X38" i="4"/>
  <c r="V38" i="4"/>
  <c r="T38" i="4"/>
  <c r="R38" i="4"/>
  <c r="P38" i="4"/>
  <c r="N38" i="4"/>
  <c r="L38" i="4"/>
  <c r="P32" i="4"/>
  <c r="P33" i="4"/>
  <c r="P35" i="4"/>
  <c r="R33" i="4"/>
  <c r="T33" i="4"/>
  <c r="X33" i="4"/>
  <c r="Z33" i="4"/>
  <c r="AB33" i="4"/>
  <c r="AD33" i="4"/>
  <c r="AF33" i="4"/>
  <c r="T40" i="4" l="1"/>
  <c r="T42" i="4" s="1"/>
  <c r="F107" i="4"/>
  <c r="F108" i="4" s="1"/>
  <c r="B78" i="4"/>
  <c r="B79" i="4" s="1"/>
  <c r="B83" i="4" s="1"/>
  <c r="B107" i="4"/>
  <c r="B108" i="4" s="1"/>
  <c r="J75" i="4"/>
  <c r="J81" i="4" s="1"/>
  <c r="J46" i="4"/>
  <c r="J48" i="4" s="1"/>
  <c r="J120" i="4"/>
  <c r="H107" i="4"/>
  <c r="P40" i="4"/>
  <c r="P42" i="4" s="1"/>
  <c r="J9" i="4"/>
  <c r="B11" i="4" s="1"/>
  <c r="J130" i="4"/>
  <c r="J94" i="4"/>
  <c r="J77" i="4"/>
  <c r="K105" i="4"/>
  <c r="J126" i="4"/>
  <c r="J58" i="4"/>
  <c r="J60" i="4" s="1"/>
  <c r="J52" i="4"/>
  <c r="J54" i="4" s="1"/>
  <c r="J40" i="4"/>
  <c r="J42" i="4" s="1"/>
  <c r="J34" i="4"/>
  <c r="J36" i="4" s="1"/>
  <c r="J19" i="4"/>
  <c r="K142" i="4"/>
  <c r="K13" i="4"/>
  <c r="J105" i="4"/>
  <c r="J116" i="4"/>
  <c r="J97" i="4"/>
  <c r="J98" i="4" s="1"/>
  <c r="N40" i="4"/>
  <c r="N42" i="4" s="1"/>
  <c r="R58" i="4"/>
  <c r="R60" i="4" s="1"/>
  <c r="T58" i="4"/>
  <c r="T60" i="4" s="1"/>
  <c r="X40" i="4"/>
  <c r="X42" i="4" s="1"/>
  <c r="V58" i="4"/>
  <c r="V60" i="4" s="1"/>
  <c r="P58" i="4"/>
  <c r="P60" i="4" s="1"/>
  <c r="L58" i="4"/>
  <c r="L60" i="4" s="1"/>
  <c r="N58" i="4"/>
  <c r="N60" i="4" s="1"/>
  <c r="X58" i="4"/>
  <c r="X60" i="4" s="1"/>
  <c r="Z58" i="4"/>
  <c r="Z60" i="4" s="1"/>
  <c r="AD58" i="4"/>
  <c r="AD60" i="4" s="1"/>
  <c r="AB58" i="4"/>
  <c r="AB60" i="4" s="1"/>
  <c r="AF58" i="4"/>
  <c r="AF60" i="4" s="1"/>
  <c r="L40" i="4"/>
  <c r="L42" i="4" s="1"/>
  <c r="R40" i="4"/>
  <c r="R42" i="4" s="1"/>
  <c r="V40" i="4"/>
  <c r="V42" i="4" s="1"/>
  <c r="AD40" i="4"/>
  <c r="AD42" i="4" s="1"/>
  <c r="AB40" i="4"/>
  <c r="AB42" i="4" s="1"/>
  <c r="AF40" i="4"/>
  <c r="AF42" i="4" s="1"/>
  <c r="Z40" i="4"/>
  <c r="Z42" i="4" s="1"/>
  <c r="D11" i="4" l="1"/>
  <c r="D14" i="4" s="1"/>
  <c r="D15" i="4" s="1"/>
  <c r="B14" i="4"/>
  <c r="B15" i="4" s="1"/>
  <c r="H11" i="4"/>
  <c r="H14" i="4" s="1"/>
  <c r="H15" i="4" s="1"/>
  <c r="F11" i="4"/>
  <c r="F14" i="4" s="1"/>
  <c r="F15" i="4" s="1"/>
  <c r="I107" i="4"/>
  <c r="I108" i="4" s="1"/>
  <c r="H108" i="4"/>
  <c r="J136" i="4"/>
  <c r="J145" i="4" s="1"/>
  <c r="J146" i="4" s="1"/>
  <c r="L133" i="4"/>
  <c r="L134" i="4" s="1"/>
  <c r="L63" i="4"/>
  <c r="L51" i="4"/>
  <c r="L45" i="4"/>
  <c r="L33" i="4"/>
  <c r="L32" i="4"/>
  <c r="L144" i="4"/>
  <c r="M140" i="4"/>
  <c r="L128" i="4"/>
  <c r="L124" i="4"/>
  <c r="L118" i="4"/>
  <c r="L114" i="4"/>
  <c r="M104" i="4"/>
  <c r="L104" i="4"/>
  <c r="M102" i="4"/>
  <c r="L101" i="4"/>
  <c r="L102" i="4" s="1"/>
  <c r="L96" i="4"/>
  <c r="L93" i="4"/>
  <c r="L92" i="4"/>
  <c r="L87" i="4"/>
  <c r="L88" i="4" s="1"/>
  <c r="L90" i="4" s="1"/>
  <c r="L74" i="4"/>
  <c r="L73" i="4"/>
  <c r="L71" i="4"/>
  <c r="D78" i="4" s="1"/>
  <c r="D79" i="4" s="1"/>
  <c r="D83" i="4" s="1"/>
  <c r="M64" i="4"/>
  <c r="M66" i="4" s="1"/>
  <c r="L62" i="4"/>
  <c r="M52" i="4"/>
  <c r="M54" i="4" s="1"/>
  <c r="L50" i="4"/>
  <c r="M48" i="4"/>
  <c r="L44" i="4"/>
  <c r="M34" i="4"/>
  <c r="M36" i="4" s="1"/>
  <c r="L27" i="4"/>
  <c r="L25" i="4"/>
  <c r="L30" i="4" s="1"/>
  <c r="M19" i="4"/>
  <c r="M9" i="4"/>
  <c r="K11" i="4" s="1"/>
  <c r="K14" i="4" s="1"/>
  <c r="K15" i="4" s="1"/>
  <c r="L8" i="4"/>
  <c r="L7" i="4"/>
  <c r="M5" i="4"/>
  <c r="L3" i="4"/>
  <c r="L120" i="4" l="1"/>
  <c r="K107" i="4"/>
  <c r="K108" i="4" s="1"/>
  <c r="L94" i="4"/>
  <c r="L34" i="4"/>
  <c r="L36" i="4" s="1"/>
  <c r="L64" i="4"/>
  <c r="L66" i="4" s="1"/>
  <c r="L75" i="4"/>
  <c r="L81" i="4" s="1"/>
  <c r="M138" i="4"/>
  <c r="M141" i="4" s="1"/>
  <c r="M142" i="4" s="1"/>
  <c r="M105" i="4"/>
  <c r="L52" i="4"/>
  <c r="L54" i="4" s="1"/>
  <c r="L46" i="4"/>
  <c r="L48" i="4" s="1"/>
  <c r="L126" i="4"/>
  <c r="L77" i="4"/>
  <c r="L130" i="4"/>
  <c r="L116" i="4"/>
  <c r="L19" i="4"/>
  <c r="L9" i="4"/>
  <c r="L105" i="4"/>
  <c r="M13" i="4"/>
  <c r="L97" i="4"/>
  <c r="L98" i="4" s="1"/>
  <c r="L136" i="4" l="1"/>
  <c r="L145" i="4" s="1"/>
  <c r="L146" i="4" s="1"/>
  <c r="O64" i="4"/>
  <c r="O66" i="4" s="1"/>
  <c r="N62" i="4"/>
  <c r="N64" i="4" s="1"/>
  <c r="N66" i="4" s="1"/>
  <c r="O48" i="4"/>
  <c r="N45" i="4"/>
  <c r="N44" i="4"/>
  <c r="O52" i="4"/>
  <c r="O54" i="4" s="1"/>
  <c r="N51" i="4"/>
  <c r="N50" i="4"/>
  <c r="O34" i="4"/>
  <c r="O36" i="4" s="1"/>
  <c r="N33" i="4"/>
  <c r="N32" i="4"/>
  <c r="N34" i="4" l="1"/>
  <c r="N36" i="4" s="1"/>
  <c r="N52" i="4"/>
  <c r="N54" i="4" s="1"/>
  <c r="N46" i="4"/>
  <c r="N48" i="4" s="1"/>
  <c r="N140" i="4"/>
  <c r="N144" i="4" s="1"/>
  <c r="N133" i="4"/>
  <c r="N134" i="4" s="1"/>
  <c r="N128" i="4"/>
  <c r="N124" i="4"/>
  <c r="N118" i="4"/>
  <c r="N114" i="4"/>
  <c r="N104" i="4"/>
  <c r="N101" i="4"/>
  <c r="N102" i="4" s="1"/>
  <c r="N96" i="4"/>
  <c r="N93" i="4"/>
  <c r="N92" i="4"/>
  <c r="N87" i="4"/>
  <c r="N88" i="4" s="1"/>
  <c r="N90" i="4" s="1"/>
  <c r="N74" i="4"/>
  <c r="N73" i="4"/>
  <c r="N71" i="4"/>
  <c r="N27" i="4"/>
  <c r="N25" i="4"/>
  <c r="N30" i="4" s="1"/>
  <c r="O19" i="4"/>
  <c r="O9" i="4"/>
  <c r="N8" i="4"/>
  <c r="N7" i="4"/>
  <c r="N3" i="4"/>
  <c r="N5" i="4" s="1"/>
  <c r="N13" i="4" s="1"/>
  <c r="N94" i="4" l="1"/>
  <c r="M11" i="4"/>
  <c r="M14" i="4" s="1"/>
  <c r="M15" i="4" s="1"/>
  <c r="N130" i="4"/>
  <c r="F78" i="4"/>
  <c r="F79" i="4" s="1"/>
  <c r="F83" i="4" s="1"/>
  <c r="N75" i="4"/>
  <c r="N81" i="4" s="1"/>
  <c r="N19" i="4"/>
  <c r="N9" i="4"/>
  <c r="N126" i="4"/>
  <c r="M107" i="4"/>
  <c r="M108" i="4" s="1"/>
  <c r="N77" i="4"/>
  <c r="N97" i="4"/>
  <c r="N98" i="4" s="1"/>
  <c r="N105" i="4"/>
  <c r="N116" i="4"/>
  <c r="N120" i="4"/>
  <c r="N138" i="4"/>
  <c r="N141" i="4" l="1"/>
  <c r="N142" i="4" s="1"/>
  <c r="N136" i="4"/>
  <c r="N145" i="4" s="1"/>
  <c r="N146" i="4" s="1"/>
  <c r="P104" i="4"/>
  <c r="P25" i="4"/>
  <c r="Q64" i="4" l="1"/>
  <c r="P64" i="4"/>
  <c r="P128" i="4" l="1"/>
  <c r="P124" i="4"/>
  <c r="P118" i="4"/>
  <c r="P114" i="4"/>
  <c r="P140" i="4" l="1"/>
  <c r="P133" i="4"/>
  <c r="P134" i="4" s="1"/>
  <c r="Q66" i="4"/>
  <c r="P66" i="4"/>
  <c r="Q52" i="4"/>
  <c r="Q54" i="4" s="1"/>
  <c r="P52" i="4"/>
  <c r="P54" i="4" s="1"/>
  <c r="Q48" i="4"/>
  <c r="P46" i="4"/>
  <c r="P48" i="4" s="1"/>
  <c r="Q34" i="4"/>
  <c r="Q36" i="4" s="1"/>
  <c r="P34" i="4"/>
  <c r="P36" i="4" s="1"/>
  <c r="P144" i="4" l="1"/>
  <c r="Q30" i="4"/>
  <c r="P27" i="4"/>
  <c r="P28" i="4"/>
  <c r="P30" i="4" s="1"/>
  <c r="Q19" i="4"/>
  <c r="Q9" i="4"/>
  <c r="O11" i="4" s="1"/>
  <c r="O14" i="4" s="1"/>
  <c r="P8" i="4"/>
  <c r="P7" i="4"/>
  <c r="Q5" i="4"/>
  <c r="Q138" i="4" s="1"/>
  <c r="P4" i="4"/>
  <c r="O4" i="4" s="1"/>
  <c r="P3" i="4"/>
  <c r="P96" i="4"/>
  <c r="P92" i="4"/>
  <c r="P93" i="4"/>
  <c r="P87" i="4"/>
  <c r="P88" i="4" s="1"/>
  <c r="P90" i="4" s="1"/>
  <c r="P74" i="4"/>
  <c r="P73" i="4"/>
  <c r="P71" i="4"/>
  <c r="H78" i="4" s="1"/>
  <c r="H79" i="4" s="1"/>
  <c r="H83" i="4" s="1"/>
  <c r="Q104" i="4"/>
  <c r="R104" i="4"/>
  <c r="Q102" i="4"/>
  <c r="P101" i="4"/>
  <c r="P102" i="4" s="1"/>
  <c r="P105" i="4" s="1"/>
  <c r="J4" i="4" l="1"/>
  <c r="J5" i="4" s="1"/>
  <c r="J13" i="4" s="1"/>
  <c r="P75" i="4"/>
  <c r="P81" i="4" s="1"/>
  <c r="P19" i="4"/>
  <c r="P5" i="4"/>
  <c r="P138" i="4" s="1"/>
  <c r="P141" i="4" s="1"/>
  <c r="Q141" i="4" s="1"/>
  <c r="Q142" i="4" s="1"/>
  <c r="P9" i="4"/>
  <c r="L4" i="4"/>
  <c r="L5" i="4" s="1"/>
  <c r="O5" i="4"/>
  <c r="Q13" i="4"/>
  <c r="L107" i="4"/>
  <c r="L108" i="4" s="1"/>
  <c r="O107" i="4"/>
  <c r="O108" i="4" s="1"/>
  <c r="P77" i="4"/>
  <c r="P130" i="4"/>
  <c r="P126" i="4"/>
  <c r="P120" i="4"/>
  <c r="P116" i="4"/>
  <c r="Q105" i="4"/>
  <c r="P94" i="4"/>
  <c r="P97" i="4"/>
  <c r="P98" i="4" s="1"/>
  <c r="Z104" i="4"/>
  <c r="J138" i="4" l="1"/>
  <c r="J141" i="4" s="1"/>
  <c r="J142" i="4" s="1"/>
  <c r="P136" i="4"/>
  <c r="P145" i="4" s="1"/>
  <c r="P146" i="4" s="1"/>
  <c r="P13" i="4"/>
  <c r="P142" i="4"/>
  <c r="L138" i="4"/>
  <c r="L141" i="4" s="1"/>
  <c r="L142" i="4" s="1"/>
  <c r="L13" i="4"/>
  <c r="O13" i="4"/>
  <c r="O15" i="4" s="1"/>
  <c r="O138" i="4"/>
  <c r="O141" i="4" s="1"/>
  <c r="O142" i="4" s="1"/>
  <c r="S4" i="4" l="1"/>
  <c r="R133" i="4" l="1"/>
  <c r="T104" i="4"/>
  <c r="Y30" i="4" l="1"/>
  <c r="W30" i="4"/>
  <c r="U30" i="4"/>
  <c r="S30" i="4"/>
  <c r="S102" i="4" l="1"/>
  <c r="R144" i="4"/>
  <c r="S140" i="4"/>
  <c r="R134" i="4"/>
  <c r="R128" i="4"/>
  <c r="R118" i="4"/>
  <c r="R114" i="4"/>
  <c r="S104" i="4"/>
  <c r="R101" i="4"/>
  <c r="R102" i="4" s="1"/>
  <c r="R105" i="4" s="1"/>
  <c r="R96" i="4"/>
  <c r="R93" i="4"/>
  <c r="R92" i="4"/>
  <c r="R87" i="4"/>
  <c r="R88" i="4" s="1"/>
  <c r="R90" i="4" s="1"/>
  <c r="R74" i="4"/>
  <c r="R73" i="4"/>
  <c r="R71" i="4"/>
  <c r="S64" i="4"/>
  <c r="S66" i="4" s="1"/>
  <c r="R62" i="4"/>
  <c r="R64" i="4" s="1"/>
  <c r="R66" i="4" s="1"/>
  <c r="S52" i="4"/>
  <c r="S54" i="4" s="1"/>
  <c r="R50" i="4"/>
  <c r="R52" i="4" s="1"/>
  <c r="R54" i="4" s="1"/>
  <c r="S48" i="4"/>
  <c r="R44" i="4"/>
  <c r="R46" i="4" s="1"/>
  <c r="R48" i="4" s="1"/>
  <c r="S34" i="4"/>
  <c r="S36" i="4" s="1"/>
  <c r="R32" i="4"/>
  <c r="R34" i="4" s="1"/>
  <c r="R36" i="4" s="1"/>
  <c r="R27" i="4"/>
  <c r="R25" i="4"/>
  <c r="R30" i="4" s="1"/>
  <c r="S19" i="4"/>
  <c r="S9" i="4"/>
  <c r="R8" i="4"/>
  <c r="R7" i="4"/>
  <c r="S5" i="4"/>
  <c r="R3" i="4"/>
  <c r="J78" i="4" l="1"/>
  <c r="J79" i="4" s="1"/>
  <c r="J83" i="4" s="1"/>
  <c r="J107" i="4"/>
  <c r="J108" i="4" s="1"/>
  <c r="S13" i="4"/>
  <c r="S138" i="4"/>
  <c r="S141" i="4" s="1"/>
  <c r="S142" i="4" s="1"/>
  <c r="R116" i="4"/>
  <c r="P107" i="4"/>
  <c r="N107" i="4"/>
  <c r="N108" i="4" s="1"/>
  <c r="R19" i="4"/>
  <c r="R9" i="4"/>
  <c r="S105" i="4"/>
  <c r="R94" i="4"/>
  <c r="R97" i="4"/>
  <c r="R98" i="4" s="1"/>
  <c r="R120" i="4"/>
  <c r="R75" i="4"/>
  <c r="R81" i="4" s="1"/>
  <c r="R126" i="4"/>
  <c r="R130" i="4"/>
  <c r="R77" i="4"/>
  <c r="L11" i="4" l="1"/>
  <c r="L14" i="4" s="1"/>
  <c r="L15" i="4" s="1"/>
  <c r="J11" i="4"/>
  <c r="J14" i="4" s="1"/>
  <c r="J15" i="4" s="1"/>
  <c r="Q11" i="4"/>
  <c r="N11" i="4"/>
  <c r="N14" i="4" s="1"/>
  <c r="N15" i="4" s="1"/>
  <c r="P11" i="4"/>
  <c r="P14" i="4" s="1"/>
  <c r="P15" i="4" s="1"/>
  <c r="Q14" i="4"/>
  <c r="Q15" i="4" s="1"/>
  <c r="R136" i="4"/>
  <c r="R145" i="4" s="1"/>
  <c r="R146" i="4" s="1"/>
  <c r="Q107" i="4"/>
  <c r="Q108" i="4" s="1"/>
  <c r="P108" i="4"/>
  <c r="T124" i="4" l="1"/>
  <c r="T144" i="4" l="1"/>
  <c r="U140" i="4"/>
  <c r="T134" i="4"/>
  <c r="T128" i="4"/>
  <c r="T118" i="4"/>
  <c r="T114" i="4"/>
  <c r="U104" i="4"/>
  <c r="U102" i="4"/>
  <c r="T101" i="4"/>
  <c r="T102" i="4" s="1"/>
  <c r="T96" i="4"/>
  <c r="T93" i="4"/>
  <c r="T92" i="4"/>
  <c r="T87" i="4"/>
  <c r="T88" i="4" s="1"/>
  <c r="T90" i="4" s="1"/>
  <c r="T74" i="4"/>
  <c r="T73" i="4"/>
  <c r="T71" i="4"/>
  <c r="U64" i="4"/>
  <c r="U66" i="4" s="1"/>
  <c r="T62" i="4"/>
  <c r="T64" i="4" s="1"/>
  <c r="T66" i="4" s="1"/>
  <c r="U52" i="4"/>
  <c r="U54" i="4" s="1"/>
  <c r="T50" i="4"/>
  <c r="T52" i="4" s="1"/>
  <c r="T54" i="4" s="1"/>
  <c r="U48" i="4"/>
  <c r="U34" i="4"/>
  <c r="U36" i="4" s="1"/>
  <c r="T32" i="4"/>
  <c r="T34" i="4" s="1"/>
  <c r="T36" i="4" s="1"/>
  <c r="T27" i="4"/>
  <c r="T25" i="4"/>
  <c r="T30" i="4" s="1"/>
  <c r="U19" i="4"/>
  <c r="U9" i="4"/>
  <c r="S11" i="4" s="1"/>
  <c r="S14" i="4" s="1"/>
  <c r="S15" i="4" s="1"/>
  <c r="T8" i="4"/>
  <c r="T7" i="4"/>
  <c r="U5" i="4"/>
  <c r="T3" i="4"/>
  <c r="T120" i="4" l="1"/>
  <c r="L78" i="4"/>
  <c r="L79" i="4" s="1"/>
  <c r="L83" i="4" s="1"/>
  <c r="S107" i="4"/>
  <c r="S108" i="4" s="1"/>
  <c r="U13" i="4"/>
  <c r="U138" i="4"/>
  <c r="U141" i="4" s="1"/>
  <c r="U142" i="4" s="1"/>
  <c r="T94" i="4"/>
  <c r="T75" i="4"/>
  <c r="T81" i="4" s="1"/>
  <c r="U105" i="4"/>
  <c r="T116" i="4"/>
  <c r="T77" i="4"/>
  <c r="T126" i="4"/>
  <c r="T19" i="4"/>
  <c r="T9" i="4"/>
  <c r="T105" i="4"/>
  <c r="T130" i="4"/>
  <c r="T97" i="4"/>
  <c r="T98" i="4" s="1"/>
  <c r="T136" i="4" l="1"/>
  <c r="T145" i="4" s="1"/>
  <c r="T146" i="4" s="1"/>
  <c r="V124" i="4" l="1"/>
  <c r="V144" i="4" l="1"/>
  <c r="W140" i="4"/>
  <c r="V134" i="4"/>
  <c r="V128" i="4"/>
  <c r="V118" i="4"/>
  <c r="V114" i="4"/>
  <c r="W104" i="4"/>
  <c r="V104" i="4"/>
  <c r="W102" i="4"/>
  <c r="V101" i="4"/>
  <c r="V102" i="4" s="1"/>
  <c r="V96" i="4"/>
  <c r="V93" i="4"/>
  <c r="V92" i="4"/>
  <c r="V87" i="4"/>
  <c r="V88" i="4" s="1"/>
  <c r="V90" i="4" s="1"/>
  <c r="V74" i="4"/>
  <c r="V73" i="4"/>
  <c r="V75" i="4" s="1"/>
  <c r="V81" i="4" s="1"/>
  <c r="V71" i="4"/>
  <c r="W64" i="4"/>
  <c r="W66" i="4" s="1"/>
  <c r="V63" i="4"/>
  <c r="V62" i="4"/>
  <c r="W52" i="4"/>
  <c r="W54" i="4" s="1"/>
  <c r="V51" i="4"/>
  <c r="V50" i="4"/>
  <c r="W48" i="4"/>
  <c r="V45" i="4"/>
  <c r="V44" i="4"/>
  <c r="W34" i="4"/>
  <c r="W36" i="4" s="1"/>
  <c r="V33" i="4"/>
  <c r="V32" i="4"/>
  <c r="V27" i="4"/>
  <c r="V25" i="4"/>
  <c r="V30" i="4" s="1"/>
  <c r="W19" i="4"/>
  <c r="W9" i="4"/>
  <c r="V8" i="4"/>
  <c r="V7" i="4"/>
  <c r="V3" i="4"/>
  <c r="N78" i="4" l="1"/>
  <c r="N79" i="4" s="1"/>
  <c r="N83" i="4" s="1"/>
  <c r="U11" i="4"/>
  <c r="U14" i="4" s="1"/>
  <c r="U15" i="4" s="1"/>
  <c r="V94" i="4"/>
  <c r="V116" i="4"/>
  <c r="U107" i="4"/>
  <c r="U108" i="4" s="1"/>
  <c r="V46" i="4"/>
  <c r="V48" i="4" s="1"/>
  <c r="W105" i="4"/>
  <c r="V105" i="4"/>
  <c r="V9" i="4"/>
  <c r="V64" i="4"/>
  <c r="V66" i="4" s="1"/>
  <c r="V52" i="4"/>
  <c r="V54" i="4" s="1"/>
  <c r="V34" i="4"/>
  <c r="V36" i="4" s="1"/>
  <c r="V19" i="4"/>
  <c r="V5" i="4"/>
  <c r="V97" i="4"/>
  <c r="V98" i="4" s="1"/>
  <c r="V120" i="4"/>
  <c r="V126" i="4"/>
  <c r="V77" i="4"/>
  <c r="V130" i="4"/>
  <c r="V13" i="4" l="1"/>
  <c r="V138" i="4"/>
  <c r="V141" i="4" s="1"/>
  <c r="V142" i="4" s="1"/>
  <c r="V136" i="4"/>
  <c r="V145" i="4" s="1"/>
  <c r="V146" i="4" s="1"/>
  <c r="AC140" i="4"/>
  <c r="AA140" i="4"/>
  <c r="X144" i="4" l="1"/>
  <c r="Y140" i="4"/>
  <c r="X134" i="4"/>
  <c r="X128" i="4"/>
  <c r="X124" i="4"/>
  <c r="X118" i="4"/>
  <c r="X114" i="4"/>
  <c r="X104" i="4"/>
  <c r="Y104" i="4" s="1"/>
  <c r="Y102" i="4"/>
  <c r="X101" i="4"/>
  <c r="X102" i="4" s="1"/>
  <c r="X96" i="4"/>
  <c r="X93" i="4"/>
  <c r="X92" i="4"/>
  <c r="X87" i="4"/>
  <c r="X88" i="4" s="1"/>
  <c r="X90" i="4" s="1"/>
  <c r="X74" i="4"/>
  <c r="X73" i="4"/>
  <c r="X71" i="4"/>
  <c r="X65" i="4"/>
  <c r="Y64" i="4"/>
  <c r="Y66" i="4" s="1"/>
  <c r="X62" i="4"/>
  <c r="X53" i="4"/>
  <c r="Y52" i="4"/>
  <c r="Y54" i="4" s="1"/>
  <c r="X50" i="4"/>
  <c r="X47" i="4"/>
  <c r="Y48" i="4"/>
  <c r="X44" i="4"/>
  <c r="X35" i="4"/>
  <c r="Y34" i="4"/>
  <c r="Y36" i="4" s="1"/>
  <c r="X32" i="4"/>
  <c r="X28" i="4"/>
  <c r="X27" i="4"/>
  <c r="X25" i="4"/>
  <c r="Y19" i="4"/>
  <c r="X18" i="4"/>
  <c r="X17" i="4"/>
  <c r="Y9" i="4"/>
  <c r="X8" i="4"/>
  <c r="X7" i="4"/>
  <c r="Y5" i="4"/>
  <c r="X4" i="4"/>
  <c r="W4" i="4" s="1"/>
  <c r="R4" i="4" s="1"/>
  <c r="R5" i="4" s="1"/>
  <c r="X3" i="4"/>
  <c r="X30" i="4" l="1"/>
  <c r="R13" i="4"/>
  <c r="R138" i="4"/>
  <c r="R141" i="4" s="1"/>
  <c r="R142" i="4" s="1"/>
  <c r="W11" i="4"/>
  <c r="W14" i="4" s="1"/>
  <c r="P78" i="4"/>
  <c r="P79" i="4" s="1"/>
  <c r="P83" i="4" s="1"/>
  <c r="T107" i="4"/>
  <c r="T108" i="4" s="1"/>
  <c r="X94" i="4"/>
  <c r="Y138" i="4"/>
  <c r="T4" i="4"/>
  <c r="T5" i="4" s="1"/>
  <c r="W5" i="4"/>
  <c r="X116" i="4"/>
  <c r="W107" i="4"/>
  <c r="W108" i="4" s="1"/>
  <c r="X46" i="4"/>
  <c r="X48" i="4" s="1"/>
  <c r="X75" i="4"/>
  <c r="X81" i="4" s="1"/>
  <c r="Y105" i="4"/>
  <c r="X105" i="4"/>
  <c r="X64" i="4"/>
  <c r="X66" i="4" s="1"/>
  <c r="X52" i="4"/>
  <c r="X54" i="4" s="1"/>
  <c r="X34" i="4"/>
  <c r="X36" i="4" s="1"/>
  <c r="X19" i="4"/>
  <c r="X9" i="4"/>
  <c r="Y13" i="4"/>
  <c r="X5" i="4"/>
  <c r="X138" i="4" s="1"/>
  <c r="X141" i="4" s="1"/>
  <c r="X97" i="4"/>
  <c r="X98" i="4" s="1"/>
  <c r="X120" i="4"/>
  <c r="X126" i="4"/>
  <c r="X130" i="4"/>
  <c r="X77" i="4"/>
  <c r="AF128" i="4"/>
  <c r="AD128" i="4"/>
  <c r="AB128" i="4"/>
  <c r="Z124" i="4"/>
  <c r="Z128" i="4"/>
  <c r="AF118" i="4"/>
  <c r="AD118" i="4"/>
  <c r="AB118" i="4"/>
  <c r="Z118" i="4"/>
  <c r="Y141" i="4" l="1"/>
  <c r="Y142" i="4" s="1"/>
  <c r="X142" i="4"/>
  <c r="W13" i="4"/>
  <c r="W15" i="4" s="1"/>
  <c r="W138" i="4"/>
  <c r="W141" i="4" s="1"/>
  <c r="W142" i="4" s="1"/>
  <c r="T13" i="4"/>
  <c r="T138" i="4"/>
  <c r="T141" i="4" s="1"/>
  <c r="T142" i="4" s="1"/>
  <c r="X136" i="4"/>
  <c r="X145" i="4" s="1"/>
  <c r="X146" i="4" s="1"/>
  <c r="X13" i="4"/>
  <c r="Z144" i="4" l="1"/>
  <c r="Z134" i="4"/>
  <c r="Z114" i="4"/>
  <c r="AA104" i="4"/>
  <c r="Z101" i="4"/>
  <c r="Z102" i="4" s="1"/>
  <c r="Z105" i="4" s="1"/>
  <c r="AA102" i="4"/>
  <c r="Z96" i="4"/>
  <c r="Z93" i="4"/>
  <c r="Z92" i="4"/>
  <c r="Z87" i="4"/>
  <c r="Z88" i="4" s="1"/>
  <c r="Z90" i="4" s="1"/>
  <c r="Z74" i="4"/>
  <c r="Z73" i="4"/>
  <c r="Z71" i="4"/>
  <c r="AA64" i="4"/>
  <c r="AA66" i="4" s="1"/>
  <c r="Z62" i="4"/>
  <c r="Z64" i="4" s="1"/>
  <c r="Z66" i="4" s="1"/>
  <c r="AA52" i="4"/>
  <c r="AA54" i="4" s="1"/>
  <c r="Z50" i="4"/>
  <c r="Z44" i="4"/>
  <c r="Z46" i="4" s="1"/>
  <c r="Z48" i="4" s="1"/>
  <c r="AA34" i="4"/>
  <c r="AA36" i="4" s="1"/>
  <c r="Z32" i="4"/>
  <c r="Z34" i="4" s="1"/>
  <c r="Z36" i="4" s="1"/>
  <c r="Z75" i="4" l="1"/>
  <c r="Z81" i="4" s="1"/>
  <c r="V107" i="4"/>
  <c r="V108" i="4" s="1"/>
  <c r="R78" i="4"/>
  <c r="R79" i="4" s="1"/>
  <c r="R83" i="4" s="1"/>
  <c r="R107" i="4"/>
  <c r="R108" i="4" s="1"/>
  <c r="Z94" i="4"/>
  <c r="AA105" i="4"/>
  <c r="Z52" i="4"/>
  <c r="Z54" i="4" s="1"/>
  <c r="Z97" i="4"/>
  <c r="Z98" i="4" s="1"/>
  <c r="Z126" i="4"/>
  <c r="X107" i="4"/>
  <c r="Z130" i="4"/>
  <c r="Z120" i="4"/>
  <c r="Z116" i="4"/>
  <c r="Z77" i="4"/>
  <c r="AA30" i="4"/>
  <c r="Z27" i="4"/>
  <c r="Z25" i="4"/>
  <c r="Z30" i="4" s="1"/>
  <c r="AA19" i="4"/>
  <c r="Z18" i="4"/>
  <c r="Z17" i="4"/>
  <c r="Z19" i="4" l="1"/>
  <c r="Y107" i="4"/>
  <c r="Y108" i="4" s="1"/>
  <c r="X108" i="4"/>
  <c r="AA9" i="4"/>
  <c r="Z8" i="4"/>
  <c r="Z7" i="4"/>
  <c r="AA5" i="4"/>
  <c r="Z4" i="4"/>
  <c r="Z3" i="4"/>
  <c r="Z9" i="4" l="1"/>
  <c r="Z136" i="4" s="1"/>
  <c r="Z145" i="4" s="1"/>
  <c r="Z146" i="4" s="1"/>
  <c r="AA13" i="4"/>
  <c r="AA138" i="4"/>
  <c r="AA141" i="4" s="1"/>
  <c r="AA142" i="4" s="1"/>
  <c r="Z5" i="4"/>
  <c r="T11" i="4" l="1"/>
  <c r="T14" i="4" s="1"/>
  <c r="T15" i="4" s="1"/>
  <c r="Z13" i="4"/>
  <c r="Z138" i="4"/>
  <c r="Z141" i="4" s="1"/>
  <c r="Z142" i="4" s="1"/>
  <c r="R11" i="4"/>
  <c r="R14" i="4" s="1"/>
  <c r="R15" i="4" s="1"/>
  <c r="V11" i="4"/>
  <c r="V14" i="4" s="1"/>
  <c r="V15" i="4" s="1"/>
  <c r="Y11" i="4"/>
  <c r="Y14" i="4" s="1"/>
  <c r="Y15" i="4" s="1"/>
  <c r="X11" i="4"/>
  <c r="X14" i="4" s="1"/>
  <c r="X15" i="4" s="1"/>
  <c r="AB104" i="4"/>
  <c r="AC104" i="4"/>
  <c r="AB101" i="4"/>
  <c r="AB102" i="4" s="1"/>
  <c r="AC102" i="4"/>
  <c r="AC105" i="4" l="1"/>
  <c r="AB62" i="4"/>
  <c r="AC64" i="4"/>
  <c r="AC66" i="4" s="1"/>
  <c r="AB50" i="4"/>
  <c r="AC52" i="4"/>
  <c r="AC54" i="4" s="1"/>
  <c r="AB44" i="4"/>
  <c r="AB32" i="4"/>
  <c r="AC34" i="4"/>
  <c r="AC36" i="4" s="1"/>
  <c r="AC30" i="4"/>
  <c r="AB25" i="4"/>
  <c r="AB30" i="4" s="1"/>
  <c r="AB18" i="4"/>
  <c r="AB17" i="4"/>
  <c r="AC19" i="4"/>
  <c r="AC9" i="4" l="1"/>
  <c r="AC5" i="4"/>
  <c r="AA11" i="4" l="1"/>
  <c r="AA14" i="4" s="1"/>
  <c r="AA15" i="4" s="1"/>
  <c r="AC13" i="4"/>
  <c r="AB8" i="4" l="1"/>
  <c r="AB7" i="4"/>
  <c r="AB4" i="4"/>
  <c r="AB3" i="4"/>
  <c r="AB144" i="4"/>
  <c r="AB134" i="4"/>
  <c r="AB124" i="4"/>
  <c r="AB114" i="4"/>
  <c r="AB96" i="4"/>
  <c r="AB93" i="4"/>
  <c r="AB92" i="4"/>
  <c r="AB87" i="4"/>
  <c r="AB88" i="4" s="1"/>
  <c r="AB90" i="4" s="1"/>
  <c r="AB74" i="4"/>
  <c r="AB73" i="4"/>
  <c r="AB71" i="4"/>
  <c r="T78" i="4" s="1"/>
  <c r="T79" i="4" s="1"/>
  <c r="T83" i="4" s="1"/>
  <c r="AB64" i="4"/>
  <c r="AB66" i="4" s="1"/>
  <c r="AB52" i="4"/>
  <c r="AB54" i="4" s="1"/>
  <c r="AB46" i="4"/>
  <c r="AB48" i="4" s="1"/>
  <c r="AB27" i="4"/>
  <c r="AB75" i="4" l="1"/>
  <c r="AB81" i="4" s="1"/>
  <c r="AB94" i="4"/>
  <c r="AC138" i="4"/>
  <c r="AC141" i="4" s="1"/>
  <c r="AC142" i="4" s="1"/>
  <c r="AB97" i="4"/>
  <c r="AB98" i="4" s="1"/>
  <c r="AB120" i="4"/>
  <c r="AB130" i="4"/>
  <c r="AA107" i="4"/>
  <c r="AA108" i="4" s="1"/>
  <c r="AB126" i="4"/>
  <c r="AB77" i="4"/>
  <c r="AB116" i="4"/>
  <c r="AB34" i="4"/>
  <c r="AB36" i="4" s="1"/>
  <c r="AB9" i="4"/>
  <c r="AB136" i="4" s="1"/>
  <c r="AB145" i="4" s="1"/>
  <c r="AB146" i="4" s="1"/>
  <c r="AB19" i="4"/>
  <c r="AB5" i="4"/>
  <c r="AB105" i="4"/>
  <c r="AG140" i="4"/>
  <c r="AE140" i="4"/>
  <c r="AB13" i="4" l="1"/>
  <c r="AB138" i="4"/>
  <c r="AB141" i="4" s="1"/>
  <c r="AB142" i="4" s="1"/>
  <c r="AE104" i="4"/>
  <c r="AE102" i="4"/>
  <c r="AE64" i="4"/>
  <c r="AE66" i="4" s="1"/>
  <c r="AE52" i="4"/>
  <c r="AE54" i="4" s="1"/>
  <c r="AE34" i="4"/>
  <c r="AE36" i="4" s="1"/>
  <c r="AE30" i="4"/>
  <c r="AE105" i="4" l="1"/>
  <c r="AD62" i="4"/>
  <c r="AD50" i="4"/>
  <c r="AD44" i="4"/>
  <c r="AD32" i="4"/>
  <c r="AD27" i="4"/>
  <c r="AD4" i="4"/>
  <c r="AE19" i="4"/>
  <c r="AE9" i="4"/>
  <c r="AE5" i="4"/>
  <c r="AC11" i="4" l="1"/>
  <c r="AC14" i="4" s="1"/>
  <c r="AC15" i="4" s="1"/>
  <c r="AE13" i="4"/>
  <c r="AD144" i="4"/>
  <c r="AD134" i="4"/>
  <c r="AD124" i="4"/>
  <c r="AD114" i="4"/>
  <c r="AD104" i="4"/>
  <c r="AD101" i="4"/>
  <c r="AD102" i="4" s="1"/>
  <c r="AD96" i="4"/>
  <c r="AD93" i="4"/>
  <c r="AD92" i="4"/>
  <c r="AD87" i="4"/>
  <c r="AD88" i="4" s="1"/>
  <c r="AD90" i="4" s="1"/>
  <c r="AD74" i="4"/>
  <c r="AD73" i="4"/>
  <c r="AD71" i="4"/>
  <c r="V78" i="4" s="1"/>
  <c r="V79" i="4" s="1"/>
  <c r="V83" i="4" s="1"/>
  <c r="AD64" i="4"/>
  <c r="AD66" i="4" s="1"/>
  <c r="AD52" i="4"/>
  <c r="AD54" i="4" s="1"/>
  <c r="AD46" i="4"/>
  <c r="AD48" i="4" s="1"/>
  <c r="AD34" i="4"/>
  <c r="AD36" i="4" s="1"/>
  <c r="AD25" i="4"/>
  <c r="AD30" i="4" s="1"/>
  <c r="AD18" i="4"/>
  <c r="AD17" i="4"/>
  <c r="AD8" i="4"/>
  <c r="AD7" i="4"/>
  <c r="AD3" i="4"/>
  <c r="AD5" i="4" s="1"/>
  <c r="AD13" i="4" l="1"/>
  <c r="AD138" i="4"/>
  <c r="AE138" i="4"/>
  <c r="AE141" i="4" s="1"/>
  <c r="AE142" i="4" s="1"/>
  <c r="AD130" i="4"/>
  <c r="AD120" i="4"/>
  <c r="AC107" i="4"/>
  <c r="AC108" i="4" s="1"/>
  <c r="AD126" i="4"/>
  <c r="AD75" i="4"/>
  <c r="AD81" i="4" s="1"/>
  <c r="AD94" i="4"/>
  <c r="AD9" i="4"/>
  <c r="AD19" i="4"/>
  <c r="AD105" i="4"/>
  <c r="AD77" i="4"/>
  <c r="AD116" i="4"/>
  <c r="AD97" i="4"/>
  <c r="AD98" i="4" s="1"/>
  <c r="AD136" i="4" l="1"/>
  <c r="AD145" i="4" s="1"/>
  <c r="AD146" i="4" s="1"/>
  <c r="AD141" i="4"/>
  <c r="AD142" i="4" s="1"/>
  <c r="AF3" i="4" l="1"/>
  <c r="AG64" i="4" l="1"/>
  <c r="AG66" i="4" s="1"/>
  <c r="AF65" i="4"/>
  <c r="AF62" i="4"/>
  <c r="AF47" i="4"/>
  <c r="AF44" i="4"/>
  <c r="AG52" i="4"/>
  <c r="AG54" i="4" s="1"/>
  <c r="AF53" i="4"/>
  <c r="AF50" i="4"/>
  <c r="AF52" i="4" s="1"/>
  <c r="AF35" i="4"/>
  <c r="AG34" i="4"/>
  <c r="AG36" i="4" s="1"/>
  <c r="AF32" i="4"/>
  <c r="AF34" i="4" s="1"/>
  <c r="AF54" i="4" l="1"/>
  <c r="AF64" i="4"/>
  <c r="AF66" i="4" s="1"/>
  <c r="AF36" i="4"/>
  <c r="AF46" i="4"/>
  <c r="AF48" i="4" s="1"/>
  <c r="AF144" i="4"/>
  <c r="AF134" i="4"/>
  <c r="AF124" i="4" l="1"/>
  <c r="AF114" i="4"/>
  <c r="AF104" i="4"/>
  <c r="AG104" i="4" s="1"/>
  <c r="AG102" i="4"/>
  <c r="AF101" i="4"/>
  <c r="AF102" i="4" s="1"/>
  <c r="AF96" i="4"/>
  <c r="AF93" i="4"/>
  <c r="AF92" i="4"/>
  <c r="AF94" i="4" s="1"/>
  <c r="AF87" i="4"/>
  <c r="AF88" i="4" s="1"/>
  <c r="AF90" i="4" s="1"/>
  <c r="AF74" i="4"/>
  <c r="AF73" i="4"/>
  <c r="AF71" i="4"/>
  <c r="AG30" i="4"/>
  <c r="AF28" i="4"/>
  <c r="AF27" i="4"/>
  <c r="AF25" i="4"/>
  <c r="AG19" i="4"/>
  <c r="AF18" i="4"/>
  <c r="AF17" i="4"/>
  <c r="AF4" i="4"/>
  <c r="AG9" i="4"/>
  <c r="AG5" i="4"/>
  <c r="AG138" i="4" s="1"/>
  <c r="AF8" i="4"/>
  <c r="AF7" i="4"/>
  <c r="AF75" i="4" l="1"/>
  <c r="AF81" i="4" s="1"/>
  <c r="AE11" i="4"/>
  <c r="X78" i="4"/>
  <c r="X79" i="4" s="1"/>
  <c r="X83" i="4" s="1"/>
  <c r="AF120" i="4"/>
  <c r="AF130" i="4"/>
  <c r="AB107" i="4"/>
  <c r="AB108" i="4" s="1"/>
  <c r="AG105" i="4"/>
  <c r="AF19" i="4"/>
  <c r="AF105" i="4"/>
  <c r="AF30" i="4"/>
  <c r="AG13" i="4"/>
  <c r="AF126" i="4"/>
  <c r="AE107" i="4"/>
  <c r="AE108" i="4" s="1"/>
  <c r="AF116" i="4"/>
  <c r="AF77" i="4"/>
  <c r="AF97" i="4"/>
  <c r="AF98" i="4" s="1"/>
  <c r="AF9" i="4"/>
  <c r="AF5" i="4"/>
  <c r="AF138" i="4" s="1"/>
  <c r="AF141" i="4" s="1"/>
  <c r="AG141" i="4" s="1"/>
  <c r="AG142" i="4" s="1"/>
  <c r="AF142" i="4" l="1"/>
  <c r="AE14" i="4"/>
  <c r="AE15" i="4" s="1"/>
  <c r="AF13" i="4"/>
  <c r="AF136" i="4"/>
  <c r="AF145" i="4" s="1"/>
  <c r="AF146" i="4" s="1"/>
  <c r="Z107" i="4" l="1"/>
  <c r="Z108" i="4" s="1"/>
  <c r="AD107" i="4"/>
  <c r="AD108" i="4" s="1"/>
  <c r="Z78" i="4"/>
  <c r="Z79" i="4" s="1"/>
  <c r="Z83" i="4" s="1"/>
  <c r="AB78" i="4"/>
  <c r="AB79" i="4" s="1"/>
  <c r="AB83" i="4" s="1"/>
  <c r="AD78" i="4"/>
  <c r="AD79" i="4" s="1"/>
  <c r="AD83" i="4" s="1"/>
  <c r="AF11" i="4"/>
  <c r="AF14" i="4" s="1"/>
  <c r="AF15" i="4" s="1"/>
  <c r="AF107" i="4"/>
  <c r="AF78" i="4"/>
  <c r="AF79" i="4" s="1"/>
  <c r="AF83" i="4" s="1"/>
  <c r="AG11" i="4" l="1"/>
  <c r="AG14" i="4" s="1"/>
  <c r="AG15" i="4" s="1"/>
  <c r="AB11" i="4"/>
  <c r="AB14" i="4" s="1"/>
  <c r="AB15" i="4" s="1"/>
  <c r="AD11" i="4"/>
  <c r="AD14" i="4" s="1"/>
  <c r="AD15" i="4" s="1"/>
  <c r="Z11" i="4"/>
  <c r="Z14" i="4" s="1"/>
  <c r="Z15" i="4" s="1"/>
  <c r="AF108" i="4"/>
  <c r="AG107" i="4"/>
  <c r="AG108" i="4" s="1"/>
</calcChain>
</file>

<file path=xl/sharedStrings.xml><?xml version="1.0" encoding="utf-8"?>
<sst xmlns="http://schemas.openxmlformats.org/spreadsheetml/2006/main" count="170" uniqueCount="153">
  <si>
    <t xml:space="preserve">Alternative Resultatmål (APM'er) </t>
  </si>
  <si>
    <r>
      <t xml:space="preserve">SpareBank 1 SR-Bank presenterer alternative resultatmål (APM'er) som gir nyttig informasjon for å supplere regnskapet. Målene er ikke definert i IFRS (International Financial Reporting Standards) og er nødvendigvis ikke direkte sammenlignbare med andre selskapers resultatmål. APM'er </t>
    </r>
    <r>
      <rPr>
        <sz val="11"/>
        <color theme="1"/>
        <rFont val="Calibri"/>
        <family val="2"/>
        <scheme val="minor"/>
      </rPr>
      <t>er inkludert i våre rapporter for å gi innsikt og forståelse for konsernets resultatoppnåelse, og representerer viktige måltall for hvordan ledelsen styrer selskapene og aktivitetene i konsernet. APM'er er ikke ment å erstatte eller overskygge regnskapstallene. Nøkkeltall som er regulert i IFRS eller annen lovgivning er ikke regnet som alternative resultatmål. Det samme gjelder for ikke-finansiell informasjon. SpareBank 1 SR-Bank sine alternative resultatmål er presentert i oversiktene hovedtall og resultat fra kvartalsregnskapene, samt i styrets beretning. Alle APM'er presenteres med sammenligningstall. APM'ene som nevnt under har i stor grad vært brukt konsistent over tid.</t>
    </r>
  </si>
  <si>
    <t xml:space="preserve">Alternative resultatmål i SpareBank 1 SR-Bank med definisjoner: </t>
  </si>
  <si>
    <t>Begrunnelse og definisjon</t>
  </si>
  <si>
    <t>Lønnsomhet</t>
  </si>
  <si>
    <t>Egenkapitalavkastning</t>
  </si>
  <si>
    <t>EK avkastning gir relevant informasjon om konsernets lønnsomhet ved å måle evne til å generere lønnsomhet fra aksjonærens investering. EK avkastning er ett av konsernets viktigste finansielle måltall, og beregnes som ordinært resultat tilgjengelig for aksjonærene for perioden, i prosent av gjennomsnittlig egenkapital, fratrukket hybridkapital (fondsobligasjoner) klassifisert som egenkapital.</t>
  </si>
  <si>
    <t>Kostnadsprosent</t>
  </si>
  <si>
    <t xml:space="preserve">Gir informasjon om korrelasjonen mellom inntekter og kostnader. Beregnes som sum driftskostnader dividert med sum inntekter. </t>
  </si>
  <si>
    <t>Gjennomsnittlig rentemargin</t>
  </si>
  <si>
    <t>Måler den gjennomsnittlige fortjeneste konsernet har på utlån og innskudd og beregnes som netto renteinntekter i prosent av gjennomsnittlig forvaltningskapital.</t>
  </si>
  <si>
    <t>Utlånsmargin Storkunder, SMB og Landbruk og og Personmarked, inkludert utlån solgt til SpareBank 1 Boligkreditt (SB1 BK) og SpareBank 1 Næringskreditt (SB1 NK)</t>
  </si>
  <si>
    <t>Utlånsmarginen gir informasjon om konsernets netto renteinntekter ved å måle rentemarginen relativt til 3 måneders pengemarkedsrente.  Konsernet benytter kredittforetak som finansieringskilde, og utlånsmarginene er inkludert provisjonsinntekter på utlån solgt til SB1 BK og SB1 NK, da dette best reflekterer konsernets inntjening på totale utlån. Utlånsmarginen er beregnet som netto renteinntekter på utlån inkludert provisjonsinntekter fra SB1 BK og SB1 NK, fratrukket rentekostnad tilsvarende 3 måneders pengemarkeds-rente, dividert på snitt utlån for perioden, inkludert utlån til SB1 BK og SB1 NK.</t>
  </si>
  <si>
    <t>Innskuddsmargin Storkunder, DSMB og Landbruk og Personmarked</t>
  </si>
  <si>
    <t>Innskuddsmarginen gir informasjon om konsernets netto renteinntekter ved å måle rentemarginen relativt til 3 måneders pengemarkedsrente.  Innskuddsmarginen er beregnet som netto rentekostnad på innskudd, justert for renteinntekt tilsvarende 3 måneders pengemarkedsrente, dividert på snitt innskudd for perioden.</t>
  </si>
  <si>
    <t>Balansetall</t>
  </si>
  <si>
    <t>Brutto Utlånsvekst siste 12 mnd</t>
  </si>
  <si>
    <t xml:space="preserve">Informasjon om aktiviteten og veksten i konsernets utlånsvirksomhet.  Nøkkeltallet er beregnet som Brutto utlån ved utløpet av perioden minus Brutto utlån ved starten av perioden, dividert på Brutto utlån ved starten av perioden. </t>
  </si>
  <si>
    <t>Brutto utlånsvekst siste 12 mnd inkludert SB1 BK og SB1 NK</t>
  </si>
  <si>
    <t xml:space="preserve">Informasjon om aktiviteten og veksten i konsernets utlånsvirksomhet.  Konsernet benytter kredittforetak som finansieringskilde, og brutto utlånsvekst inkludert utlån solgt til kredittforetakene reflekterer bedre aktiviteten og veksten i utlånsvirksomheten enn om disse utlånene var ekskludert. Nøkkeltallet er beregnet som Brutto utlån inkludert utlån solgt til SB1 BK og SB1 NK ved utløpet av perioden minus Brutto utlån inkludert utlån solgt til SB1 BK og SB1 NK ved starten av perioden, dividert på Brutto utlån inkludert utlån solgt til SB1 BK og SB1 NK ved starten av perioden. </t>
  </si>
  <si>
    <t>Innskuddsvekst siste 12 mnd</t>
  </si>
  <si>
    <t xml:space="preserve">Informasjon om aktiviteten og veksten i konsernets innskuddsvirksomhet.  Nøkkeltallet er beregnet som Innskudd fra kunder ved utløpet av perioden minus Innskudd fra kunder ved starten av perioden, dividert på Innskudd fra kunder ved starten av perioden. </t>
  </si>
  <si>
    <t>Innskuddsdekning</t>
  </si>
  <si>
    <t>Gir relevant informasjon om konsernets likviditet, og beregnes som Innskudd fra kunder dividert med sum utlån til kunder ved utløpet av perioden.</t>
  </si>
  <si>
    <t>Innskuddsdekning inkludert SB1 BK og SB1 NK</t>
  </si>
  <si>
    <t>Gir relevant informasjon om konsernets likviditet, hensyntatt utlån solgt til SB1 BK og SB1 NK. Beregnes som Innskudd fra kunder dividert med sum utlån til kunder, inkludert lån solgt til SB1 BK og SB1 NK ved utløpet av perioden.</t>
  </si>
  <si>
    <t>Nedskrivninger på utlån og finansielle forpliktelser og Utlån og finansielle forpliktelser i Trinn 2 og Trinn 3</t>
  </si>
  <si>
    <t xml:space="preserve">Nedskrivninger i prosent av brutto utlån </t>
  </si>
  <si>
    <t xml:space="preserve">Resultatført nedskrivninger på utlån og finansielle forpliktelser målt forholdsmessig i forhold til brutto utlån, beregnes som en funksjon av brutto utlån, og sier noe om hvor stor andel av brutto utlån det er foretatt nedskrivninger på. Tallet beregnes som Nedskrivning på utlån og finansielle forpliktelser resultatført i perioden dividert med gjennomsnitt av Brutto utlån i perioden. Ved opplysninger om nedskrivningsprosent for kortere perioder enn hele år, blir resultatførte nedskrivninger annualisert. </t>
  </si>
  <si>
    <t>Nedskrivninger i prosent av brutto utlån inkludert SB1 BK og SB1 NK</t>
  </si>
  <si>
    <t xml:space="preserve">Resultatført nedskrivninger på utlån og finansielle forpliktelser målt forholdsmessig i forhold til brutto utlån inkludert utlån solgt til kredittforetakene, beregnes som en funksjon av brutto utlån inkludert lån solgt til kredittforetak, og sier noe om hvor stor andel av brutto utlån det er foretatt nedskrivninger på.  Konsernet benytter kredittforetak som finansieringskilde, og nedskrivninger i prosent av brutto utlån inkludert utlån solgt til kredittforetakene reflekterer bedre hvor stor andel av brutto utlån, inkludert utlån til kredittforetakene, det er foretatt nedskrivninger på, enn om disse utlånene var ekskludert.  Tallet beregnes som Nedskrivning på utlån og finansielle forpliktelser resultatført i perioden dividert med gjennomsnitt av Brutto utlån inkludert lån solgt til SB1 BK og SB1 NK i perioden. Ved opplysninger om nedskrivningsprosent for kortere perioder enn hele år, blir resultatførte nedskrivninger annualisert. </t>
  </si>
  <si>
    <t>Utlån og finansielle forpliktelser i Trinn 2 i prosent brutto utlån og finansielle forpliktselser</t>
  </si>
  <si>
    <t>Gir relevant informasjon om bankens kreditteksponering. Beregnes som utlån og finansielle forpliktelser i Trinn 2 dividert med brutto utlån og finansielle forpliktselser ved utløpet av perioden. Utlån og finansielle forpliktelser i Trinn 2 er utlån og finansielle forpliktelser som har hatt en vesentlig økning i kredittrisiko siden førstegangsinnregning, men hvor det ikke er objektive bevis på tap på balansedato. Beregnes fra og med 2018 etter overgang til IFRS 9.</t>
  </si>
  <si>
    <t>Utlån og finansielle forpliktelser i Trinn 2 i prosent brutto utlån og finansielle forpliktselser, inkludert SB1 BK og SB1 NK</t>
  </si>
  <si>
    <t>Gir relevant informasjon om bankens kreditteksponering. Konsernet benytter kredittforetak som finansieringskilde, og Utlån og finansielle forpliktelser i Trinn 2 i prosent av brutto utlån inkludert utlån solgt til kredittforetakene reflekterer bedre konsernets kreditteksponering, enn om disse utlånene var ekskludert.  Beregnes som utlån og finansielle forpliktelser i Trinn 2 dividert med brutto utlån og finansielle forpliktselser inkl. lån solgt til SB1 BK og SB1 NK ved utløpet av perioden. Utlån og finansielle forpliktelser i Trinn 2 er utlån og finansielle forpliktelser som har hatt en vesentlig økning i kredittrisiko siden førstegangsinnregning, men hvor det ikke er objektive bevis på tap på balansedato. Beregnes fra og med 2018 etter overgang til IFRS 9.</t>
  </si>
  <si>
    <t>Utlån og finansielle forpliktelser i Trinn 3 i prosent av brutto utlån og finansielle forpliktselser</t>
  </si>
  <si>
    <t>Gir relevant informasjon om bankens kreditteksponering. Beregnes som utlån og finansielle forpliktelser i Trinn 3 dividert med sum brutto utlån og finansielle forpliktselser ved utløpet av perioden. Utlån og finansielle forpliktelser i Trinn 3 er utlån og finansielle forpliktelser som har hatt en vesentlig økning i kredittrisiko siden innvilgelse, og hvor det er objektive bevis på tap på balansedato. Beregnes fra og med 2018 etter overgang til IFRS 9.</t>
  </si>
  <si>
    <t>Utlån og finansielle forpliktelser i Trinn 3 i prosent av brutto utlån og finansielle forpliktselser, inkludert SB1 BK og SB1 NK</t>
  </si>
  <si>
    <t>Gir relevant informasjon om bankens kreditteksponering.  Konsernet benytter kredittforetak som finansieringskilde, og Utlån og finansielle forpliktelser i Trinn 3 i prosent av brutto utlån inkludert utlån solgt til kredittforetakene reflekterer bedre konsernets kreditteksponering, enn om disse utlånene var ekskludert. Beregnes som utlån og finansielle forpliktelser i Trinn 3 dividert med brutto utlån og finansielle forpliktselser inkl. lån solgt til SB1 BK og SB1 NK ved utløpet av perioden. Utlånog finansielle forpliktelser  i Trinn 3 er utlån og finansielle forpliktelser som har hatt en vesentlig økning i kredittrisiko siden innvilgelse, og hvor det er objektive bevis på tap på balansedato. Beregnes fra og med 2018 etter overgang til IFRS 9.</t>
  </si>
  <si>
    <t>SpareBank 1 SR-Bank aksjen</t>
  </si>
  <si>
    <t>Bokført egenkapital pr aksje (inkludert utbytte)</t>
  </si>
  <si>
    <t xml:space="preserve">Nøkkeltallet gir informasjon om verdien av bokført egenkapital pr aksje, og mulighet til å vurdere rimeligheten av aksjens børskurs. Beregnes som egenkapitalen ved utløpet av perioden dividert på antall aksjer. </t>
  </si>
  <si>
    <t>Pris / Resultat pr aksje</t>
  </si>
  <si>
    <t>Inntjeningen pr aksje sett opp mot børskurs på det aktuelle tidspunkt, noe som gir mulighet for å vurdere rimeligheten av aksjens børskurs. Beregnes som børskurs pr aksje dividert på annualisert resultat pr aksje.</t>
  </si>
  <si>
    <t>Pris / Bokført egenkapital</t>
  </si>
  <si>
    <t xml:space="preserve">Verdien av bokført egenkapital pr aksje sett opp mot børskurs på gitt tidspunkt. Gir mulighet til å vurdere rimeligheten av børskursen til aksjen. Beregnes som børskurs pr aksje dividert på bokført egenkapital pr aksje (se definisjonen av dette nøkkeltallet over). </t>
  </si>
  <si>
    <t>SpareBank 1 SR-Bank Konsern (tall i mnok)</t>
  </si>
  <si>
    <t>2. kv 22</t>
  </si>
  <si>
    <t>1. kv 22</t>
  </si>
  <si>
    <t>4. kv 21</t>
  </si>
  <si>
    <t>3. kv 21</t>
  </si>
  <si>
    <t>2. kv 21</t>
  </si>
  <si>
    <t>1. kv 21</t>
  </si>
  <si>
    <t>4. kv 20</t>
  </si>
  <si>
    <t>3. kv 20</t>
  </si>
  <si>
    <t>2. kv 20</t>
  </si>
  <si>
    <t>1. kv 20</t>
  </si>
  <si>
    <t>4. kv 19</t>
  </si>
  <si>
    <t>3. kv 19</t>
  </si>
  <si>
    <t>2. kv 19</t>
  </si>
  <si>
    <t>1. kv 19</t>
  </si>
  <si>
    <t>4. kv 18</t>
  </si>
  <si>
    <t>3. kv 18</t>
  </si>
  <si>
    <t>2. kv 18</t>
  </si>
  <si>
    <t>1. kv 18</t>
  </si>
  <si>
    <t>Resultat etter skatt</t>
  </si>
  <si>
    <t>Renter hybridkapital</t>
  </si>
  <si>
    <t>Resultat etter skatt ekskl. renter hybridkapital</t>
  </si>
  <si>
    <t>Total egenkapital</t>
  </si>
  <si>
    <t>Hybridkapital</t>
  </si>
  <si>
    <t>Egenkapital ekskl. hybridkapital</t>
  </si>
  <si>
    <t>Snitt Egenkapital ekskl. hybridkapital</t>
  </si>
  <si>
    <t>Annualisert resultat etter skatt ekskl. renter hybridkapital</t>
  </si>
  <si>
    <t>Snitt egenkapital ekskl. hybridkapital</t>
  </si>
  <si>
    <t>Egenkapitalavkastning i prosent</t>
  </si>
  <si>
    <t>Sum driftskostnader</t>
  </si>
  <si>
    <t>Sum inntekter</t>
  </si>
  <si>
    <t>Netto renteinntekter</t>
  </si>
  <si>
    <t>Forvaltningskapital</t>
  </si>
  <si>
    <t>Snitt forvaltningskapital</t>
  </si>
  <si>
    <t>Renter på Utlån til BM Storkunde</t>
  </si>
  <si>
    <t>3 måneders pengemarkedsrenter</t>
  </si>
  <si>
    <t>Rentemargin på utlån i BM Storkunde</t>
  </si>
  <si>
    <t>Snitt utlånsvolum BM Storkunde</t>
  </si>
  <si>
    <t>Netto utlånsmargin BM Storkunde</t>
  </si>
  <si>
    <t>Renter på Utlån til SMB og Landbruk</t>
  </si>
  <si>
    <t>Rentemargin på utlån i SMB og Landbruk</t>
  </si>
  <si>
    <t>Snitt utlånsvolum SMB og Landbruk</t>
  </si>
  <si>
    <t>Netto utlånsmargin SMB og Landbruk</t>
  </si>
  <si>
    <t>Renter på Innskudd til BM Storkunde</t>
  </si>
  <si>
    <t>Rentemargin på innskudd i BM Storkunde</t>
  </si>
  <si>
    <t>Snitt innskuddsvolum BM Storkunde</t>
  </si>
  <si>
    <t>Netto innskuddsmargin BM Storkunde</t>
  </si>
  <si>
    <t>Renter på Innskudd til SMB og landbruk</t>
  </si>
  <si>
    <t>Rentemargin på innskudd i SMB og Landbruk</t>
  </si>
  <si>
    <t>Snitt innskuddsvolum SMB og Landbruk</t>
  </si>
  <si>
    <t>Netto innskuddsmargin SMB og Landbruk</t>
  </si>
  <si>
    <t>Renter på Innskudd til Personmarked</t>
  </si>
  <si>
    <t>Rentemargin på innskudd i Personmarked</t>
  </si>
  <si>
    <t>Snitt innskuddsvolum Personmarked</t>
  </si>
  <si>
    <t>Netto innskuddsmargin Personmarked</t>
  </si>
  <si>
    <t>Brutto utlån til kunder ved utgangen av perioden</t>
  </si>
  <si>
    <t>Utlån solgt til SB1 BK og SB1 NK ved utgangen av perioden</t>
  </si>
  <si>
    <t>Brutto utlån til kunder inkl. SB1 BK og SB1 NK ved utgangen av perioden</t>
  </si>
  <si>
    <t>Brutto utlån til kunder ved utgangen samme periode forrige år</t>
  </si>
  <si>
    <t>Utlånsvekst (mill)</t>
  </si>
  <si>
    <t>Brutto utlån til kunder inkl. SB1 BK og SB1 NK ved utgangen samme periode forrige år</t>
  </si>
  <si>
    <t>Utlånsvekst inkl. SB1 BK og SB1 NK (mill)</t>
  </si>
  <si>
    <t>Utlånsvekst siste 12 mnd</t>
  </si>
  <si>
    <t>Utlånsvekst siste 12 mnd, inkl. SB1 BK og SB1 NK</t>
  </si>
  <si>
    <t>Innskudd fra kunder ved utgangen av perioden</t>
  </si>
  <si>
    <t>Innskudd fra kunder ved utgangen av samme periode forrige år</t>
  </si>
  <si>
    <t>Innskuddsvekst (mill)</t>
  </si>
  <si>
    <t>Innskudd fra kunder</t>
  </si>
  <si>
    <t xml:space="preserve">Brutto utlån til kunder </t>
  </si>
  <si>
    <t>Brutto utlån til kunder inkl. utlån SB1 BK SB1 NK</t>
  </si>
  <si>
    <t>Innskuddsdekning, inkl. SB1 BK og SB1 NK</t>
  </si>
  <si>
    <t>Nedskrivning på utlån og og finansielle forpliktelser i resultatet</t>
  </si>
  <si>
    <t>Nedskrivning på utlån og og finansielle forpliktelser annualisert</t>
  </si>
  <si>
    <t>Snitt brutto utlån til kunder</t>
  </si>
  <si>
    <t>Nedskrivning i prosent av utlån til kunder</t>
  </si>
  <si>
    <t>Snitt Brutto utlån til kunder inkl. SB1 BK og SB1 NK</t>
  </si>
  <si>
    <t>Nedskrivning i prosent av utlån til kunder, inkl. SB1 BK og SB1 NK</t>
  </si>
  <si>
    <t>Finansielle forpliktelser til kunder</t>
  </si>
  <si>
    <t>Utlån i Trinn 2</t>
  </si>
  <si>
    <t>Finansielle forpliktelser i Trinn 2</t>
  </si>
  <si>
    <t>Utlån og finansielle forpliktelser i Trinn 2 i prosent av brutto utlån til kunder</t>
  </si>
  <si>
    <t>Utlån og finansielle forpliktelser i Trinn 2 i prosent av brutto utlån til kunder, inkl. SB1 BK og SB1 NK</t>
  </si>
  <si>
    <t>Utlån og finansielle forpliktelser i Trinn 2 i prosent av brutto utlån og finansielle forpliktelser til kunder</t>
  </si>
  <si>
    <t>Utlån og finansielle forpliktelser i Trinn 2 i prosent av brutto utlån og finansielle forpliktelser til kunder, inkl. SB1 BK og SB1 NK</t>
  </si>
  <si>
    <t>Utlån i Trinn 3</t>
  </si>
  <si>
    <t>Finansielle forpliktelser i Trinn 3</t>
  </si>
  <si>
    <t xml:space="preserve">Utlån og finansielle forpliktelser i Trinn 3 i prosent av brutto utlån til kunder </t>
  </si>
  <si>
    <t>Utlån og finansielle forpliktelser i Trinn 3 i prosent av brutto utlån til kunder, inkl. SB1 BK og SB1 NK</t>
  </si>
  <si>
    <t>Utlån og finansielle forpliktelser i Trinn 3 i prosent av brutto utlån og finansielle forpliktelser til kunder</t>
  </si>
  <si>
    <t>Utlån og finansielle forpliktelser i Trinn 3 i prosent av brutto utlån og finansielle forpliktelser til kunder, inkl. SB1 BK og SB1 NK</t>
  </si>
  <si>
    <t>Antall utstedte aksjer (mill)</t>
  </si>
  <si>
    <t>Egen beholdning</t>
  </si>
  <si>
    <t>Antall utestående aksjer</t>
  </si>
  <si>
    <t>Resultat pr aksje, i kr</t>
  </si>
  <si>
    <t>Børskurs</t>
  </si>
  <si>
    <t>Resultat pr aksje, annualisert</t>
  </si>
  <si>
    <t>Bokført egenkapital pr aksje</t>
  </si>
  <si>
    <t xml:space="preserve">Pris / Bokført egenkapital </t>
  </si>
  <si>
    <t>3. kv 22</t>
  </si>
  <si>
    <t>4. kv 22</t>
  </si>
  <si>
    <t>Renter på Utlån til Personmarked inkl ansattlån</t>
  </si>
  <si>
    <t>Rentemargin på utlån i Personmarked inkl ansattlån</t>
  </si>
  <si>
    <t>Snitt utlånsvolum Personmarked inkl ansattlån</t>
  </si>
  <si>
    <t>Netto utlånsmargin Personmarked inkl ansattlån</t>
  </si>
  <si>
    <t>Kostnadsprosent Bankkonsern</t>
  </si>
  <si>
    <t>Sum inntekter ekskl. Inntekter fra finansielle investeringer</t>
  </si>
  <si>
    <t xml:space="preserve">Gir informasjon om korrelasjonen mellom sum inntekter ekskl netto inntekter fra finansielle investeringer  og kostnader i Bankkonsern. Bankkonsern inkluderer Sparebank 1 SR-Bank (morbank) og SR-Boligkreditt AS. Beregnes som sum driftskostnader dividert med sum inntekter ekskl. finansielle inntekter i Bankkonsernet.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</si>
</sst>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_-* #,##0_-;\-* #,##0_-;_-* &quot;-&quot;??_-;_-@_-"/>
    <numFmt numFmtId="165" formatCode="0.0\ %"/>
    <numFmt numFmtId="166" formatCode="_-* #,##0.000_-;\-* #,##0.000_-;_-* &quot;-&quot;??_-;_-@_-"/>
    <numFmt numFmtId="167" formatCode="_-* #,##0.000000_-;\-* #,##0.000000_-;_-* &quot;-&quot;??_-;_-@_-"/>
  </numFmts>
  <fonts count="17" x14ac:knownFonts="1">
    <font>
      <sz val="11"/>
      <color theme="1"/>
      <name val="Calibri"/>
      <family val="2"/>
      <scheme val="minor"/>
    </font>
    <font>
      <b/>
      <sz val="11"/>
      <color theme="1"/>
      <name val="Calibri"/>
      <family val="2"/>
      <scheme val="minor"/>
    </font>
    <font>
      <sz val="11"/>
      <name val="Calibri"/>
      <family val="2"/>
      <scheme val="minor"/>
    </font>
    <font>
      <sz val="11"/>
      <color theme="1"/>
      <name val="Calibri"/>
      <family val="2"/>
      <scheme val="minor"/>
    </font>
    <font>
      <b/>
      <sz val="11"/>
      <name val="Calibri"/>
      <family val="2"/>
      <scheme val="minor"/>
    </font>
    <font>
      <b/>
      <sz val="8"/>
      <name val="Arial"/>
      <family val="2"/>
    </font>
    <font>
      <sz val="10"/>
      <name val="Arial"/>
      <family val="2"/>
    </font>
    <font>
      <sz val="11"/>
      <color rgb="FFFF0000"/>
      <name val="Calibri"/>
      <family val="2"/>
      <scheme val="minor"/>
    </font>
    <font>
      <b/>
      <sz val="11"/>
      <color rgb="FFFF0000"/>
      <name val="Calibri"/>
      <family val="2"/>
      <scheme val="minor"/>
    </font>
    <font>
      <i/>
      <sz val="11"/>
      <color rgb="FFFF0000"/>
      <name val="Calibri"/>
      <family val="2"/>
      <scheme val="minor"/>
    </font>
    <font>
      <b/>
      <sz val="8"/>
      <color rgb="FFFF0000"/>
      <name val="Arial"/>
      <family val="2"/>
    </font>
    <font>
      <b/>
      <sz val="11"/>
      <color theme="1" tint="4.9989318521683403E-2"/>
      <name val="Calibri"/>
      <family val="2"/>
      <scheme val="minor"/>
    </font>
    <font>
      <sz val="11"/>
      <color theme="1" tint="4.9989318521683403E-2"/>
      <name val="Calibri"/>
      <family val="2"/>
      <scheme val="minor"/>
    </font>
    <font>
      <b/>
      <sz val="14"/>
      <color theme="1"/>
      <name val="Calibri"/>
      <family val="2"/>
      <scheme val="minor"/>
    </font>
    <font>
      <b/>
      <i/>
      <sz val="11"/>
      <color theme="1" tint="4.9989318521683403E-2"/>
      <name val="Calibri"/>
      <family val="2"/>
      <scheme val="minor"/>
    </font>
    <font>
      <i/>
      <sz val="11"/>
      <color theme="1"/>
      <name val="Calibri"/>
      <family val="2"/>
      <scheme val="minor"/>
    </font>
    <font>
      <sz val="9"/>
      <name val="Times New Roman"/>
      <family val="1"/>
    </font>
  </fonts>
  <fills count="4">
    <fill>
      <patternFill patternType="none"/>
    </fill>
    <fill>
      <patternFill patternType="gray125"/>
    </fill>
    <fill>
      <patternFill patternType="solid">
        <fgColor theme="4" tint="0.79998168889431442"/>
        <bgColor indexed="64"/>
      </patternFill>
    </fill>
    <fill>
      <patternFill patternType="solid">
        <fgColor theme="0" tint="-4.9989318521683403E-2"/>
        <bgColor theme="4"/>
      </patternFill>
    </fill>
  </fills>
  <borders count="15">
    <border>
      <left/>
      <right/>
      <top/>
      <bottom/>
      <diagonal/>
    </border>
    <border>
      <left/>
      <right/>
      <top/>
      <bottom style="thin">
        <color indexed="64"/>
      </bottom>
      <diagonal/>
    </border>
    <border>
      <left/>
      <right/>
      <top style="thin">
        <color indexed="64"/>
      </top>
      <bottom style="medium">
        <color indexed="64"/>
      </bottom>
      <diagonal/>
    </border>
    <border>
      <left/>
      <right/>
      <top/>
      <bottom style="medium">
        <color indexed="64"/>
      </bottom>
      <diagonal/>
    </border>
    <border>
      <left/>
      <right/>
      <top style="medium">
        <color indexed="64"/>
      </top>
      <bottom/>
      <diagonal/>
    </border>
    <border>
      <left/>
      <right/>
      <top style="thin">
        <color indexed="64"/>
      </top>
      <bottom/>
      <diagonal/>
    </border>
    <border>
      <left/>
      <right/>
      <top style="medium">
        <color theme="1"/>
      </top>
      <bottom style="medium">
        <color theme="1"/>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top/>
      <bottom/>
      <diagonal/>
    </border>
    <border>
      <left/>
      <right style="hair">
        <color indexed="64"/>
      </right>
      <top/>
      <bottom/>
      <diagonal/>
    </border>
    <border>
      <left style="hair">
        <color indexed="64"/>
      </left>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top/>
      <bottom style="medium">
        <color indexed="64"/>
      </bottom>
      <diagonal/>
    </border>
    <border>
      <left/>
      <right style="hair">
        <color indexed="64"/>
      </right>
      <top/>
      <bottom style="medium">
        <color indexed="64"/>
      </bottom>
      <diagonal/>
    </border>
  </borders>
  <cellStyleXfs count="5">
    <xf numFmtId="0" fontId="0" fillId="0" borderId="0"/>
    <xf numFmtId="43" fontId="3" fillId="0" borderId="0" applyFont="0" applyFill="0" applyBorder="0" applyAlignment="0" applyProtection="0"/>
    <xf numFmtId="9" fontId="3" fillId="0" borderId="0" applyFont="0" applyFill="0" applyBorder="0" applyAlignment="0" applyProtection="0"/>
    <xf numFmtId="0" fontId="6" fillId="0" borderId="0"/>
    <xf numFmtId="0" fontId="16" fillId="0" borderId="0" applyFill="0" applyBorder="0">
      <alignment horizontal="left" vertical="top"/>
    </xf>
  </cellStyleXfs>
  <cellXfs count="209">
    <xf numFmtId="0" fontId="0" fillId="0" borderId="0" xfId="0"/>
    <xf numFmtId="164" fontId="0" fillId="0" borderId="1" xfId="1" applyNumberFormat="1" applyFont="1" applyBorder="1"/>
    <xf numFmtId="164" fontId="2" fillId="0" borderId="0" xfId="1" applyNumberFormat="1" applyFont="1" applyBorder="1"/>
    <xf numFmtId="164" fontId="2" fillId="0" borderId="1" xfId="1" applyNumberFormat="1" applyFont="1" applyBorder="1"/>
    <xf numFmtId="43" fontId="0" fillId="0" borderId="0" xfId="1" applyFont="1"/>
    <xf numFmtId="164" fontId="7" fillId="0" borderId="0" xfId="1" applyNumberFormat="1" applyFont="1" applyBorder="1"/>
    <xf numFmtId="0" fontId="9" fillId="0" borderId="0" xfId="0" applyFont="1"/>
    <xf numFmtId="0" fontId="7" fillId="0" borderId="0" xfId="0" applyFont="1"/>
    <xf numFmtId="164" fontId="7" fillId="0" borderId="0" xfId="1" applyNumberFormat="1" applyFont="1"/>
    <xf numFmtId="0" fontId="7" fillId="0" borderId="1" xfId="0" applyFont="1" applyBorder="1"/>
    <xf numFmtId="164" fontId="7" fillId="0" borderId="1" xfId="0" applyNumberFormat="1" applyFont="1" applyBorder="1"/>
    <xf numFmtId="164" fontId="7" fillId="0" borderId="0" xfId="0" applyNumberFormat="1" applyFont="1"/>
    <xf numFmtId="164" fontId="2" fillId="0" borderId="0" xfId="1" applyNumberFormat="1" applyFont="1"/>
    <xf numFmtId="43" fontId="2" fillId="0" borderId="0" xfId="0" applyNumberFormat="1" applyFont="1"/>
    <xf numFmtId="43" fontId="2" fillId="0" borderId="1" xfId="0" applyNumberFormat="1" applyFont="1" applyBorder="1"/>
    <xf numFmtId="0" fontId="2" fillId="0" borderId="0" xfId="0" applyFont="1"/>
    <xf numFmtId="43" fontId="2" fillId="0" borderId="0" xfId="1" applyFont="1"/>
    <xf numFmtId="164" fontId="2" fillId="0" borderId="0" xfId="1" applyNumberFormat="1" applyFont="1" applyFill="1"/>
    <xf numFmtId="164" fontId="2" fillId="0" borderId="1" xfId="1" applyNumberFormat="1" applyFont="1" applyFill="1" applyBorder="1"/>
    <xf numFmtId="0" fontId="2" fillId="0" borderId="1" xfId="0" applyFont="1" applyBorder="1"/>
    <xf numFmtId="0" fontId="7" fillId="0" borderId="0" xfId="0" applyFont="1" applyAlignment="1">
      <alignment horizontal="left"/>
    </xf>
    <xf numFmtId="0" fontId="8" fillId="0" borderId="0" xfId="0" applyFont="1"/>
    <xf numFmtId="0" fontId="8" fillId="0" borderId="1" xfId="0" applyFont="1" applyBorder="1"/>
    <xf numFmtId="165" fontId="7" fillId="0" borderId="0" xfId="0" applyNumberFormat="1" applyFont="1"/>
    <xf numFmtId="43" fontId="7" fillId="0" borderId="0" xfId="0" applyNumberFormat="1" applyFont="1"/>
    <xf numFmtId="14" fontId="4" fillId="0" borderId="1" xfId="0" applyNumberFormat="1" applyFont="1" applyBorder="1" applyAlignment="1">
      <alignment horizontal="center" wrapText="1"/>
    </xf>
    <xf numFmtId="0" fontId="4" fillId="0" borderId="1" xfId="0" applyFont="1" applyBorder="1" applyAlignment="1">
      <alignment horizontal="center" wrapText="1"/>
    </xf>
    <xf numFmtId="0" fontId="4" fillId="0" borderId="1" xfId="0" applyFont="1" applyBorder="1" applyAlignment="1">
      <alignment horizontal="center"/>
    </xf>
    <xf numFmtId="0" fontId="4" fillId="0" borderId="1" xfId="0" applyFont="1" applyBorder="1"/>
    <xf numFmtId="0" fontId="2" fillId="0" borderId="0" xfId="0" applyFont="1" applyAlignment="1">
      <alignment wrapText="1"/>
    </xf>
    <xf numFmtId="0" fontId="2" fillId="0" borderId="1" xfId="0" applyFont="1" applyBorder="1" applyAlignment="1">
      <alignment wrapText="1"/>
    </xf>
    <xf numFmtId="10" fontId="5" fillId="0" borderId="0" xfId="2" applyNumberFormat="1" applyFont="1" applyFill="1" applyBorder="1"/>
    <xf numFmtId="164" fontId="3" fillId="0" borderId="1" xfId="1" applyNumberFormat="1" applyFont="1" applyBorder="1"/>
    <xf numFmtId="164" fontId="3" fillId="0" borderId="0" xfId="1" applyNumberFormat="1" applyFont="1" applyBorder="1"/>
    <xf numFmtId="0" fontId="0" fillId="0" borderId="1" xfId="0" applyBorder="1"/>
    <xf numFmtId="43" fontId="3" fillId="0" borderId="1" xfId="1" applyFont="1" applyBorder="1"/>
    <xf numFmtId="10" fontId="10" fillId="0" borderId="4" xfId="2" applyNumberFormat="1" applyFont="1" applyFill="1" applyBorder="1"/>
    <xf numFmtId="165" fontId="8" fillId="2" borderId="2" xfId="2" applyNumberFormat="1" applyFont="1" applyFill="1" applyBorder="1"/>
    <xf numFmtId="165" fontId="1" fillId="2" borderId="2" xfId="2" applyNumberFormat="1" applyFont="1" applyFill="1" applyBorder="1"/>
    <xf numFmtId="165" fontId="4" fillId="2" borderId="2" xfId="2" applyNumberFormat="1" applyFont="1" applyFill="1" applyBorder="1"/>
    <xf numFmtId="0" fontId="1" fillId="2" borderId="3" xfId="0" applyFont="1" applyFill="1" applyBorder="1"/>
    <xf numFmtId="0" fontId="4" fillId="0" borderId="0" xfId="0" applyFont="1"/>
    <xf numFmtId="0" fontId="4" fillId="2" borderId="2" xfId="0" applyFont="1" applyFill="1" applyBorder="1"/>
    <xf numFmtId="43" fontId="4" fillId="2" borderId="2" xfId="0" applyNumberFormat="1" applyFont="1" applyFill="1" applyBorder="1"/>
    <xf numFmtId="0" fontId="8" fillId="2" borderId="2" xfId="0" applyFont="1" applyFill="1" applyBorder="1"/>
    <xf numFmtId="0" fontId="2" fillId="0" borderId="0" xfId="0" applyFont="1" applyAlignment="1">
      <alignment horizontal="left"/>
    </xf>
    <xf numFmtId="165" fontId="1" fillId="2" borderId="3" xfId="2" applyNumberFormat="1" applyFont="1" applyFill="1" applyBorder="1"/>
    <xf numFmtId="0" fontId="12" fillId="0" borderId="0" xfId="0" applyFont="1"/>
    <xf numFmtId="164" fontId="2" fillId="0" borderId="0" xfId="1" applyNumberFormat="1" applyFont="1" applyFill="1" applyBorder="1"/>
    <xf numFmtId="0" fontId="1" fillId="2" borderId="2" xfId="0" applyFont="1" applyFill="1" applyBorder="1"/>
    <xf numFmtId="43" fontId="1" fillId="2" borderId="2" xfId="1" applyFont="1" applyFill="1" applyBorder="1"/>
    <xf numFmtId="10" fontId="1" fillId="2" borderId="2" xfId="2" applyNumberFormat="1" applyFont="1" applyFill="1" applyBorder="1"/>
    <xf numFmtId="10" fontId="4" fillId="2" borderId="2" xfId="2" applyNumberFormat="1" applyFont="1" applyFill="1" applyBorder="1"/>
    <xf numFmtId="0" fontId="0" fillId="0" borderId="1" xfId="0" applyBorder="1" applyAlignment="1">
      <alignment wrapText="1"/>
    </xf>
    <xf numFmtId="164" fontId="3" fillId="0" borderId="0" xfId="1" applyNumberFormat="1" applyFont="1"/>
    <xf numFmtId="164" fontId="0" fillId="0" borderId="0" xfId="0" applyNumberFormat="1"/>
    <xf numFmtId="164" fontId="0" fillId="0" borderId="1" xfId="0" applyNumberFormat="1" applyBorder="1"/>
    <xf numFmtId="0" fontId="0" fillId="0" borderId="0" xfId="0" applyAlignment="1">
      <alignment wrapText="1"/>
    </xf>
    <xf numFmtId="0" fontId="1" fillId="2" borderId="3" xfId="0" applyFont="1" applyFill="1" applyBorder="1" applyAlignment="1">
      <alignment wrapText="1"/>
    </xf>
    <xf numFmtId="0" fontId="1" fillId="2" borderId="2" xfId="0" applyFont="1" applyFill="1" applyBorder="1" applyAlignment="1">
      <alignment wrapText="1"/>
    </xf>
    <xf numFmtId="10" fontId="8" fillId="0" borderId="0" xfId="2" applyNumberFormat="1" applyFont="1" applyFill="1" applyBorder="1"/>
    <xf numFmtId="10" fontId="1" fillId="0" borderId="0" xfId="2" applyNumberFormat="1" applyFont="1" applyFill="1" applyBorder="1"/>
    <xf numFmtId="0" fontId="1" fillId="0" borderId="0" xfId="0" applyFont="1" applyAlignment="1">
      <alignment wrapText="1"/>
    </xf>
    <xf numFmtId="0" fontId="13" fillId="0" borderId="0" xfId="0" applyFont="1"/>
    <xf numFmtId="0" fontId="2" fillId="0" borderId="0" xfId="0" applyFont="1" applyAlignment="1">
      <alignment horizontal="left" wrapText="1"/>
    </xf>
    <xf numFmtId="164" fontId="3" fillId="0" borderId="0" xfId="0" applyNumberFormat="1" applyFont="1"/>
    <xf numFmtId="0" fontId="1" fillId="0" borderId="5" xfId="0" applyFont="1" applyBorder="1" applyAlignment="1">
      <alignment wrapText="1"/>
    </xf>
    <xf numFmtId="0" fontId="9" fillId="0" borderId="1" xfId="0" applyFont="1" applyBorder="1"/>
    <xf numFmtId="165" fontId="2" fillId="0" borderId="0" xfId="0" applyNumberFormat="1" applyFont="1"/>
    <xf numFmtId="0" fontId="4" fillId="2" borderId="2" xfId="0" applyFont="1" applyFill="1" applyBorder="1" applyAlignment="1">
      <alignment wrapText="1"/>
    </xf>
    <xf numFmtId="164" fontId="2" fillId="0" borderId="0" xfId="0" applyNumberFormat="1" applyFont="1"/>
    <xf numFmtId="0" fontId="11" fillId="0" borderId="0" xfId="0" applyFont="1"/>
    <xf numFmtId="0" fontId="2" fillId="0" borderId="0" xfId="0" applyFont="1" applyAlignment="1">
      <alignment horizontal="left" vertical="center"/>
    </xf>
    <xf numFmtId="0" fontId="2" fillId="0" borderId="0" xfId="0" applyFont="1" applyAlignment="1">
      <alignment vertical="center"/>
    </xf>
    <xf numFmtId="0" fontId="14" fillId="0" borderId="0" xfId="0" applyFont="1"/>
    <xf numFmtId="0" fontId="12" fillId="0" borderId="0" xfId="0" applyFont="1" applyAlignment="1">
      <alignment horizontal="left" wrapText="1"/>
    </xf>
    <xf numFmtId="0" fontId="0" fillId="0" borderId="0" xfId="0" applyAlignment="1">
      <alignment horizontal="left" wrapText="1"/>
    </xf>
    <xf numFmtId="0" fontId="12" fillId="2" borderId="0" xfId="0" applyFont="1" applyFill="1"/>
    <xf numFmtId="0" fontId="12" fillId="2" borderId="0" xfId="0" applyFont="1" applyFill="1" applyAlignment="1">
      <alignment horizontal="left" wrapText="1"/>
    </xf>
    <xf numFmtId="0" fontId="0" fillId="2" borderId="0" xfId="0" applyFill="1" applyAlignment="1">
      <alignment wrapText="1"/>
    </xf>
    <xf numFmtId="0" fontId="0" fillId="2" borderId="0" xfId="0" applyFill="1" applyAlignment="1">
      <alignment horizontal="left" wrapText="1"/>
    </xf>
    <xf numFmtId="0" fontId="0" fillId="2" borderId="0" xfId="0" applyFill="1"/>
    <xf numFmtId="0" fontId="2" fillId="2" borderId="0" xfId="0" applyFont="1" applyFill="1" applyAlignment="1">
      <alignment horizontal="left" wrapText="1"/>
    </xf>
    <xf numFmtId="0" fontId="15" fillId="0" borderId="0" xfId="0" applyFont="1"/>
    <xf numFmtId="0" fontId="12" fillId="0" borderId="0" xfId="0" applyFont="1" applyAlignment="1">
      <alignment wrapText="1"/>
    </xf>
    <xf numFmtId="0" fontId="1" fillId="3" borderId="6" xfId="0" applyFont="1" applyFill="1" applyBorder="1"/>
    <xf numFmtId="164" fontId="2" fillId="0" borderId="1" xfId="0" applyNumberFormat="1" applyFont="1" applyBorder="1"/>
    <xf numFmtId="165" fontId="4" fillId="2" borderId="3" xfId="2" applyNumberFormat="1" applyFont="1" applyFill="1" applyBorder="1"/>
    <xf numFmtId="10" fontId="4" fillId="2" borderId="3" xfId="2" applyNumberFormat="1" applyFont="1" applyFill="1" applyBorder="1"/>
    <xf numFmtId="43" fontId="4" fillId="2" borderId="2" xfId="1" applyFont="1" applyFill="1" applyBorder="1"/>
    <xf numFmtId="0" fontId="1" fillId="0" borderId="0" xfId="0" applyFont="1"/>
    <xf numFmtId="164" fontId="0" fillId="0" borderId="0" xfId="1" applyNumberFormat="1" applyFont="1" applyBorder="1"/>
    <xf numFmtId="0" fontId="4" fillId="3" borderId="6" xfId="0" applyFont="1" applyFill="1" applyBorder="1"/>
    <xf numFmtId="14" fontId="4" fillId="0" borderId="7" xfId="0" applyNumberFormat="1" applyFont="1" applyBorder="1" applyAlignment="1">
      <alignment horizontal="center" wrapText="1"/>
    </xf>
    <xf numFmtId="0" fontId="4" fillId="0" borderId="8" xfId="0" applyFont="1" applyBorder="1" applyAlignment="1">
      <alignment horizontal="center" wrapText="1"/>
    </xf>
    <xf numFmtId="0" fontId="2" fillId="0" borderId="9" xfId="0" applyFont="1" applyBorder="1"/>
    <xf numFmtId="0" fontId="7" fillId="0" borderId="10" xfId="0" applyFont="1" applyBorder="1"/>
    <xf numFmtId="164" fontId="2" fillId="0" borderId="9" xfId="1" applyNumberFormat="1" applyFont="1" applyBorder="1"/>
    <xf numFmtId="164" fontId="2" fillId="0" borderId="10" xfId="1" applyNumberFormat="1" applyFont="1" applyBorder="1"/>
    <xf numFmtId="164" fontId="0" fillId="0" borderId="7" xfId="0" applyNumberFormat="1" applyBorder="1"/>
    <xf numFmtId="164" fontId="3" fillId="0" borderId="8" xfId="1" applyNumberFormat="1" applyFont="1" applyBorder="1"/>
    <xf numFmtId="164" fontId="0" fillId="0" borderId="9" xfId="1" applyNumberFormat="1" applyFont="1" applyBorder="1"/>
    <xf numFmtId="164" fontId="3" fillId="0" borderId="10" xfId="1" applyNumberFormat="1" applyFont="1" applyBorder="1"/>
    <xf numFmtId="164" fontId="7" fillId="0" borderId="10" xfId="1" applyNumberFormat="1" applyFont="1" applyBorder="1"/>
    <xf numFmtId="164" fontId="2" fillId="0" borderId="7" xfId="1" applyNumberFormat="1" applyFont="1" applyBorder="1"/>
    <xf numFmtId="164" fontId="2" fillId="0" borderId="8" xfId="1" applyNumberFormat="1" applyFont="1" applyBorder="1"/>
    <xf numFmtId="0" fontId="7" fillId="0" borderId="9" xfId="0" applyFont="1" applyBorder="1"/>
    <xf numFmtId="165" fontId="4" fillId="2" borderId="11" xfId="2" applyNumberFormat="1" applyFont="1" applyFill="1" applyBorder="1"/>
    <xf numFmtId="165" fontId="4" fillId="2" borderId="12" xfId="2" applyNumberFormat="1" applyFont="1" applyFill="1" applyBorder="1"/>
    <xf numFmtId="0" fontId="9" fillId="0" borderId="10" xfId="0" applyFont="1" applyBorder="1"/>
    <xf numFmtId="164" fontId="2" fillId="0" borderId="9" xfId="0" applyNumberFormat="1" applyFont="1" applyBorder="1"/>
    <xf numFmtId="164" fontId="2" fillId="0" borderId="7" xfId="0" applyNumberFormat="1" applyFont="1" applyBorder="1"/>
    <xf numFmtId="165" fontId="4" fillId="2" borderId="13" xfId="2" applyNumberFormat="1" applyFont="1" applyFill="1" applyBorder="1"/>
    <xf numFmtId="165" fontId="1" fillId="2" borderId="14" xfId="2" applyNumberFormat="1" applyFont="1" applyFill="1" applyBorder="1"/>
    <xf numFmtId="10" fontId="4" fillId="2" borderId="11" xfId="2" applyNumberFormat="1" applyFont="1" applyFill="1" applyBorder="1"/>
    <xf numFmtId="10" fontId="4" fillId="2" borderId="12" xfId="2" applyNumberFormat="1" applyFont="1" applyFill="1" applyBorder="1"/>
    <xf numFmtId="0" fontId="0" fillId="0" borderId="9" xfId="0" applyBorder="1"/>
    <xf numFmtId="0" fontId="15" fillId="0" borderId="10" xfId="0" applyFont="1" applyBorder="1"/>
    <xf numFmtId="164" fontId="0" fillId="0" borderId="10" xfId="0" applyNumberFormat="1" applyBorder="1"/>
    <xf numFmtId="164" fontId="0" fillId="0" borderId="9" xfId="0" applyNumberFormat="1" applyBorder="1"/>
    <xf numFmtId="0" fontId="9" fillId="0" borderId="8" xfId="0" applyFont="1" applyBorder="1"/>
    <xf numFmtId="164" fontId="7" fillId="0" borderId="10" xfId="0" applyNumberFormat="1" applyFont="1" applyBorder="1"/>
    <xf numFmtId="0" fontId="2" fillId="0" borderId="9" xfId="0" applyFont="1" applyBorder="1" applyAlignment="1">
      <alignment wrapText="1"/>
    </xf>
    <xf numFmtId="0" fontId="2" fillId="0" borderId="10" xfId="0" applyFont="1" applyBorder="1" applyAlignment="1">
      <alignment wrapText="1"/>
    </xf>
    <xf numFmtId="0" fontId="2" fillId="0" borderId="8" xfId="0" applyFont="1" applyBorder="1" applyAlignment="1">
      <alignment wrapText="1"/>
    </xf>
    <xf numFmtId="164" fontId="7" fillId="0" borderId="8" xfId="0" applyNumberFormat="1" applyFont="1" applyBorder="1"/>
    <xf numFmtId="0" fontId="0" fillId="0" borderId="9" xfId="0" applyBorder="1" applyAlignment="1">
      <alignment wrapText="1"/>
    </xf>
    <xf numFmtId="165" fontId="1" fillId="2" borderId="11" xfId="2" applyNumberFormat="1" applyFont="1" applyFill="1" applyBorder="1"/>
    <xf numFmtId="0" fontId="1" fillId="2" borderId="12" xfId="0" applyFont="1" applyFill="1" applyBorder="1"/>
    <xf numFmtId="165" fontId="8" fillId="2" borderId="12" xfId="2" applyNumberFormat="1" applyFont="1" applyFill="1" applyBorder="1"/>
    <xf numFmtId="164" fontId="0" fillId="0" borderId="8" xfId="0" applyNumberFormat="1" applyBorder="1"/>
    <xf numFmtId="0" fontId="0" fillId="0" borderId="10" xfId="0" applyBorder="1"/>
    <xf numFmtId="164" fontId="0" fillId="0" borderId="7" xfId="1" applyNumberFormat="1" applyFont="1" applyBorder="1"/>
    <xf numFmtId="0" fontId="0" fillId="0" borderId="8" xfId="0" applyBorder="1" applyAlignment="1">
      <alignment wrapText="1"/>
    </xf>
    <xf numFmtId="165" fontId="1" fillId="2" borderId="13" xfId="2" applyNumberFormat="1" applyFont="1" applyFill="1" applyBorder="1"/>
    <xf numFmtId="0" fontId="1" fillId="2" borderId="14" xfId="0" applyFont="1" applyFill="1" applyBorder="1"/>
    <xf numFmtId="0" fontId="2" fillId="0" borderId="10" xfId="0" applyFont="1" applyBorder="1"/>
    <xf numFmtId="164" fontId="7" fillId="0" borderId="9" xfId="1" applyNumberFormat="1" applyFont="1" applyBorder="1"/>
    <xf numFmtId="10" fontId="1" fillId="2" borderId="11" xfId="2" applyNumberFormat="1" applyFont="1" applyFill="1" applyBorder="1"/>
    <xf numFmtId="10" fontId="1" fillId="2" borderId="12" xfId="2" applyNumberFormat="1" applyFont="1" applyFill="1" applyBorder="1"/>
    <xf numFmtId="0" fontId="4" fillId="0" borderId="9" xfId="0" applyFont="1" applyBorder="1"/>
    <xf numFmtId="10" fontId="8" fillId="0" borderId="10" xfId="2" applyNumberFormat="1" applyFont="1" applyFill="1" applyBorder="1"/>
    <xf numFmtId="164" fontId="3" fillId="0" borderId="9" xfId="1" applyNumberFormat="1" applyFont="1" applyBorder="1"/>
    <xf numFmtId="164" fontId="3" fillId="0" borderId="9" xfId="0" applyNumberFormat="1" applyFont="1" applyBorder="1"/>
    <xf numFmtId="0" fontId="1" fillId="0" borderId="9" xfId="0" applyFont="1" applyBorder="1"/>
    <xf numFmtId="10" fontId="4" fillId="2" borderId="13" xfId="2" applyNumberFormat="1" applyFont="1" applyFill="1" applyBorder="1"/>
    <xf numFmtId="43" fontId="0" fillId="0" borderId="9" xfId="1" applyFont="1" applyBorder="1"/>
    <xf numFmtId="43" fontId="0" fillId="0" borderId="0" xfId="1" applyFont="1" applyBorder="1"/>
    <xf numFmtId="43" fontId="3" fillId="0" borderId="7" xfId="1" applyFont="1" applyBorder="1"/>
    <xf numFmtId="0" fontId="7" fillId="0" borderId="8" xfId="0" applyFont="1" applyBorder="1"/>
    <xf numFmtId="43" fontId="3" fillId="0" borderId="9" xfId="1" applyFont="1" applyBorder="1"/>
    <xf numFmtId="43" fontId="3" fillId="0" borderId="0" xfId="1" applyFont="1" applyBorder="1"/>
    <xf numFmtId="43" fontId="3" fillId="0" borderId="10" xfId="1" applyFont="1" applyBorder="1"/>
    <xf numFmtId="43" fontId="7" fillId="0" borderId="0" xfId="1" applyFont="1" applyBorder="1"/>
    <xf numFmtId="43" fontId="1" fillId="2" borderId="11" xfId="1" applyFont="1" applyFill="1" applyBorder="1"/>
    <xf numFmtId="0" fontId="8" fillId="2" borderId="12" xfId="0" applyFont="1" applyFill="1" applyBorder="1"/>
    <xf numFmtId="10" fontId="5" fillId="0" borderId="9" xfId="2" applyNumberFormat="1" applyFont="1" applyFill="1" applyBorder="1"/>
    <xf numFmtId="43" fontId="1" fillId="2" borderId="12" xfId="1" applyFont="1" applyFill="1" applyBorder="1"/>
    <xf numFmtId="43" fontId="7" fillId="0" borderId="10" xfId="0" applyNumberFormat="1" applyFont="1" applyBorder="1"/>
    <xf numFmtId="43" fontId="2" fillId="0" borderId="9" xfId="0" applyNumberFormat="1" applyFont="1" applyBorder="1"/>
    <xf numFmtId="43" fontId="2" fillId="0" borderId="0" xfId="1" applyFont="1" applyBorder="1"/>
    <xf numFmtId="43" fontId="2" fillId="0" borderId="10" xfId="1" applyFont="1" applyBorder="1"/>
    <xf numFmtId="43" fontId="0" fillId="0" borderId="0" xfId="0" applyNumberFormat="1"/>
    <xf numFmtId="43" fontId="2" fillId="0" borderId="10" xfId="0" applyNumberFormat="1" applyFont="1" applyBorder="1"/>
    <xf numFmtId="43" fontId="2" fillId="0" borderId="7" xfId="0" applyNumberFormat="1" applyFont="1" applyBorder="1"/>
    <xf numFmtId="0" fontId="2" fillId="0" borderId="8" xfId="0" applyFont="1" applyBorder="1"/>
    <xf numFmtId="43" fontId="4" fillId="2" borderId="11" xfId="0" applyNumberFormat="1" applyFont="1" applyFill="1" applyBorder="1"/>
    <xf numFmtId="0" fontId="9" fillId="0" borderId="9" xfId="0" applyFont="1" applyBorder="1"/>
    <xf numFmtId="0" fontId="15" fillId="0" borderId="9" xfId="0" applyFont="1" applyBorder="1"/>
    <xf numFmtId="10" fontId="8" fillId="0" borderId="9" xfId="2" applyNumberFormat="1" applyFont="1" applyFill="1" applyBorder="1"/>
    <xf numFmtId="10" fontId="1" fillId="0" borderId="9" xfId="2" applyNumberFormat="1" applyFont="1" applyFill="1" applyBorder="1"/>
    <xf numFmtId="43" fontId="7" fillId="0" borderId="9" xfId="0" applyNumberFormat="1" applyFont="1" applyBorder="1"/>
    <xf numFmtId="43" fontId="2" fillId="0" borderId="9" xfId="1" applyFont="1" applyBorder="1"/>
    <xf numFmtId="0" fontId="4" fillId="2" borderId="12" xfId="0" applyFont="1" applyFill="1" applyBorder="1"/>
    <xf numFmtId="164" fontId="0" fillId="0" borderId="1" xfId="1" applyNumberFormat="1" applyFont="1" applyFill="1" applyBorder="1"/>
    <xf numFmtId="164" fontId="2" fillId="0" borderId="10" xfId="1" applyNumberFormat="1" applyFont="1" applyFill="1" applyBorder="1"/>
    <xf numFmtId="164" fontId="3" fillId="0" borderId="0" xfId="1" applyNumberFormat="1" applyFont="1" applyFill="1"/>
    <xf numFmtId="14" fontId="4" fillId="0" borderId="1" xfId="0" applyNumberFormat="1" applyFont="1" applyBorder="1" applyAlignment="1">
      <alignment horizontal="center"/>
    </xf>
    <xf numFmtId="165" fontId="4" fillId="0" borderId="0" xfId="2" applyNumberFormat="1" applyFont="1" applyFill="1" applyBorder="1"/>
    <xf numFmtId="165" fontId="4" fillId="0" borderId="9" xfId="2" applyNumberFormat="1" applyFont="1" applyFill="1" applyBorder="1"/>
    <xf numFmtId="165" fontId="1" fillId="0" borderId="0" xfId="2" applyNumberFormat="1" applyFont="1" applyFill="1" applyBorder="1"/>
    <xf numFmtId="165" fontId="4" fillId="0" borderId="10" xfId="2" applyNumberFormat="1" applyFont="1" applyFill="1" applyBorder="1"/>
    <xf numFmtId="0" fontId="4" fillId="2" borderId="3" xfId="0" applyFont="1" applyFill="1" applyBorder="1" applyAlignment="1">
      <alignment wrapText="1"/>
    </xf>
    <xf numFmtId="10" fontId="10" fillId="0" borderId="0" xfId="2" applyNumberFormat="1" applyFont="1" applyFill="1" applyBorder="1"/>
    <xf numFmtId="0" fontId="4" fillId="0" borderId="0" xfId="0" applyFont="1" applyAlignment="1">
      <alignment wrapText="1"/>
    </xf>
    <xf numFmtId="10" fontId="4" fillId="0" borderId="0" xfId="2" applyNumberFormat="1" applyFont="1" applyFill="1" applyBorder="1"/>
    <xf numFmtId="10" fontId="4" fillId="0" borderId="9" xfId="2" applyNumberFormat="1" applyFont="1" applyFill="1" applyBorder="1"/>
    <xf numFmtId="14" fontId="4" fillId="0" borderId="7" xfId="0" applyNumberFormat="1" applyFont="1" applyBorder="1" applyAlignment="1">
      <alignment horizontal="center"/>
    </xf>
    <xf numFmtId="164" fontId="3" fillId="0" borderId="7" xfId="1" applyNumberFormat="1" applyFont="1" applyBorder="1"/>
    <xf numFmtId="165" fontId="1" fillId="0" borderId="9" xfId="2" applyNumberFormat="1" applyFont="1" applyFill="1" applyBorder="1"/>
    <xf numFmtId="10" fontId="5" fillId="0" borderId="10" xfId="2" applyNumberFormat="1" applyFont="1" applyFill="1" applyBorder="1"/>
    <xf numFmtId="43" fontId="4" fillId="2" borderId="12" xfId="1" applyFont="1" applyFill="1" applyBorder="1"/>
    <xf numFmtId="43" fontId="0" fillId="0" borderId="10" xfId="1" applyFont="1" applyBorder="1"/>
    <xf numFmtId="10" fontId="4" fillId="0" borderId="10" xfId="2" applyNumberFormat="1" applyFont="1" applyFill="1" applyBorder="1"/>
    <xf numFmtId="164" fontId="3" fillId="0" borderId="10" xfId="1" applyNumberFormat="1" applyFont="1" applyFill="1" applyBorder="1"/>
    <xf numFmtId="43" fontId="3" fillId="0" borderId="1" xfId="1" applyFont="1" applyFill="1" applyBorder="1"/>
    <xf numFmtId="164" fontId="3" fillId="0" borderId="0" xfId="1" applyNumberFormat="1" applyFont="1" applyFill="1" applyBorder="1"/>
    <xf numFmtId="164" fontId="2" fillId="0" borderId="9" xfId="1" applyNumberFormat="1" applyFont="1" applyFill="1" applyBorder="1"/>
    <xf numFmtId="43" fontId="3" fillId="0" borderId="7" xfId="1" applyFont="1" applyFill="1" applyBorder="1"/>
    <xf numFmtId="43" fontId="7" fillId="0" borderId="9" xfId="1" applyFont="1" applyBorder="1"/>
    <xf numFmtId="166" fontId="3" fillId="0" borderId="0" xfId="1" applyNumberFormat="1" applyFont="1" applyBorder="1"/>
    <xf numFmtId="167" fontId="3" fillId="0" borderId="0" xfId="1" applyNumberFormat="1" applyFont="1" applyBorder="1"/>
    <xf numFmtId="0" fontId="2" fillId="0" borderId="0" xfId="0" applyFont="1" applyFill="1"/>
    <xf numFmtId="0" fontId="7" fillId="0" borderId="0" xfId="0" applyFont="1" applyFill="1"/>
    <xf numFmtId="1" fontId="2" fillId="0" borderId="0" xfId="0" applyNumberFormat="1" applyFont="1"/>
    <xf numFmtId="0" fontId="0" fillId="0" borderId="0" xfId="0" applyAlignment="1">
      <alignment horizontal="left" wrapText="1"/>
    </xf>
    <xf numFmtId="0" fontId="12" fillId="0" borderId="0" xfId="0" applyFont="1" applyFill="1"/>
    <xf numFmtId="0" fontId="12" fillId="0" borderId="0" xfId="0" applyFont="1" applyFill="1" applyAlignment="1">
      <alignment horizontal="left" wrapText="1"/>
    </xf>
    <xf numFmtId="0" fontId="2" fillId="0" borderId="0" xfId="0" applyFont="1" applyFill="1" applyAlignment="1">
      <alignment vertical="center"/>
    </xf>
  </cellXfs>
  <cellStyles count="5">
    <cellStyle name="EYtext" xfId="4" xr:uid="{4AC49DC1-D037-4FAD-BA16-736B9FF2C3CD}"/>
    <cellStyle name="Komma" xfId="1" builtinId="3"/>
    <cellStyle name="Normal" xfId="0" builtinId="0"/>
    <cellStyle name="Normal 2" xfId="3" xr:uid="{00000000-0005-0000-0000-000002000000}"/>
    <cellStyle name="Pros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0A0F9A-8D5C-4F91-90E0-CD98CC34D3AE}">
  <sheetPr>
    <tabColor theme="4" tint="-0.249977111117893"/>
    <pageSetUpPr fitToPage="1"/>
  </sheetPr>
  <dimension ref="A1:P60"/>
  <sheetViews>
    <sheetView showGridLines="0" tabSelected="1" zoomScaleNormal="100" workbookViewId="0">
      <selection activeCell="B11" sqref="B11"/>
    </sheetView>
  </sheetViews>
  <sheetFormatPr baseColWidth="10" defaultColWidth="11.42578125" defaultRowHeight="15" x14ac:dyDescent="0.25"/>
  <cols>
    <col min="1" max="1" width="60.28515625" style="7" customWidth="1"/>
    <col min="2" max="2" width="148.42578125" style="7" customWidth="1"/>
    <col min="3" max="16" width="11.42578125" style="15"/>
    <col min="17" max="16384" width="11.42578125" style="7"/>
  </cols>
  <sheetData>
    <row r="1" spans="1:16" ht="18.75" x14ac:dyDescent="0.3">
      <c r="A1" s="63" t="s">
        <v>0</v>
      </c>
    </row>
    <row r="2" spans="1:16" s="20" customFormat="1" ht="83.25" customHeight="1" x14ac:dyDescent="0.25">
      <c r="A2" s="205" t="s">
        <v>1</v>
      </c>
      <c r="B2" s="205"/>
      <c r="C2" s="72"/>
      <c r="D2" s="45"/>
      <c r="E2" s="45"/>
      <c r="F2" s="45"/>
      <c r="G2" s="45"/>
      <c r="H2" s="45"/>
      <c r="I2" s="45"/>
      <c r="J2" s="45"/>
      <c r="K2" s="45"/>
      <c r="L2" s="45"/>
      <c r="M2" s="45"/>
      <c r="N2" s="45"/>
      <c r="O2" s="45"/>
      <c r="P2" s="45"/>
    </row>
    <row r="3" spans="1:16" s="20" customFormat="1" ht="7.5" customHeight="1" thickBot="1" x14ac:dyDescent="0.3">
      <c r="A3" s="64"/>
      <c r="B3" s="76"/>
      <c r="C3" s="72"/>
      <c r="D3" s="45"/>
      <c r="E3" s="45"/>
      <c r="F3" s="45"/>
      <c r="G3" s="45"/>
      <c r="H3" s="45"/>
      <c r="I3" s="45"/>
      <c r="J3" s="45"/>
      <c r="K3" s="45"/>
      <c r="L3" s="45"/>
      <c r="M3" s="45"/>
      <c r="N3" s="45"/>
      <c r="O3" s="45"/>
      <c r="P3" s="45"/>
    </row>
    <row r="4" spans="1:16" ht="24.75" customHeight="1" thickBot="1" x14ac:dyDescent="0.3">
      <c r="A4" s="85" t="s">
        <v>2</v>
      </c>
      <c r="B4" s="92" t="s">
        <v>3</v>
      </c>
    </row>
    <row r="5" spans="1:16" ht="22.5" customHeight="1" x14ac:dyDescent="0.25">
      <c r="A5" s="74" t="s">
        <v>4</v>
      </c>
      <c r="B5" s="71"/>
    </row>
    <row r="6" spans="1:16" ht="45.75" customHeight="1" x14ac:dyDescent="0.25">
      <c r="A6" s="77" t="s">
        <v>5</v>
      </c>
      <c r="B6" s="78" t="s">
        <v>6</v>
      </c>
      <c r="C6" s="73"/>
    </row>
    <row r="7" spans="1:16" ht="18.75" customHeight="1" x14ac:dyDescent="0.25">
      <c r="A7" s="47" t="s">
        <v>7</v>
      </c>
      <c r="B7" s="75" t="s">
        <v>8</v>
      </c>
      <c r="C7" s="73"/>
    </row>
    <row r="8" spans="1:16" ht="30" x14ac:dyDescent="0.25">
      <c r="A8" s="77" t="s">
        <v>150</v>
      </c>
      <c r="B8" s="78" t="s">
        <v>152</v>
      </c>
      <c r="C8" s="73"/>
    </row>
    <row r="9" spans="1:16" x14ac:dyDescent="0.25">
      <c r="A9" s="84" t="s">
        <v>9</v>
      </c>
      <c r="B9" s="75" t="s">
        <v>10</v>
      </c>
      <c r="C9" s="73"/>
    </row>
    <row r="10" spans="1:16" ht="60" x14ac:dyDescent="0.25">
      <c r="A10" s="77" t="s">
        <v>11</v>
      </c>
      <c r="B10" s="78" t="s">
        <v>12</v>
      </c>
      <c r="C10" s="73"/>
    </row>
    <row r="11" spans="1:16" s="203" customFormat="1" ht="33" customHeight="1" x14ac:dyDescent="0.25">
      <c r="A11" s="206" t="s">
        <v>13</v>
      </c>
      <c r="B11" s="207" t="s">
        <v>14</v>
      </c>
      <c r="C11" s="208"/>
      <c r="D11" s="202"/>
      <c r="E11" s="202"/>
      <c r="F11" s="202"/>
      <c r="G11" s="202"/>
      <c r="H11" s="202"/>
      <c r="I11" s="202"/>
      <c r="J11" s="202"/>
      <c r="K11" s="202"/>
      <c r="L11" s="202"/>
      <c r="M11" s="202"/>
      <c r="N11" s="202"/>
      <c r="O11" s="202"/>
      <c r="P11" s="202"/>
    </row>
    <row r="12" spans="1:16" ht="22.5" customHeight="1" x14ac:dyDescent="0.25">
      <c r="A12" s="74" t="s">
        <v>15</v>
      </c>
      <c r="B12" s="71"/>
    </row>
    <row r="13" spans="1:16" ht="33" customHeight="1" x14ac:dyDescent="0.25">
      <c r="A13" s="79" t="s">
        <v>16</v>
      </c>
      <c r="B13" s="80" t="s">
        <v>17</v>
      </c>
      <c r="C13" s="73"/>
    </row>
    <row r="14" spans="1:16" ht="63.75" customHeight="1" x14ac:dyDescent="0.25">
      <c r="A14" s="57" t="s">
        <v>18</v>
      </c>
      <c r="B14" s="76" t="s">
        <v>19</v>
      </c>
      <c r="C14" s="73"/>
    </row>
    <row r="15" spans="1:16" ht="34.5" customHeight="1" x14ac:dyDescent="0.25">
      <c r="A15" s="79" t="s">
        <v>20</v>
      </c>
      <c r="B15" s="80" t="s">
        <v>21</v>
      </c>
      <c r="C15" s="73"/>
    </row>
    <row r="16" spans="1:16" ht="18.75" customHeight="1" x14ac:dyDescent="0.25">
      <c r="A16" s="57" t="s">
        <v>22</v>
      </c>
      <c r="B16" s="76" t="s">
        <v>23</v>
      </c>
      <c r="C16" s="73"/>
    </row>
    <row r="17" spans="1:3" ht="35.25" customHeight="1" x14ac:dyDescent="0.25">
      <c r="A17" s="79" t="s">
        <v>24</v>
      </c>
      <c r="B17" s="80" t="s">
        <v>25</v>
      </c>
      <c r="C17" s="73"/>
    </row>
    <row r="18" spans="1:3" ht="22.5" customHeight="1" x14ac:dyDescent="0.25">
      <c r="A18" s="74" t="s">
        <v>26</v>
      </c>
      <c r="B18" s="71"/>
    </row>
    <row r="19" spans="1:3" ht="47.25" customHeight="1" x14ac:dyDescent="0.25">
      <c r="A19" s="81" t="s">
        <v>27</v>
      </c>
      <c r="B19" s="82" t="s">
        <v>28</v>
      </c>
      <c r="C19" s="73"/>
    </row>
    <row r="20" spans="1:3" ht="94.5" customHeight="1" x14ac:dyDescent="0.25">
      <c r="A20" s="57" t="s">
        <v>29</v>
      </c>
      <c r="B20" s="76" t="s">
        <v>30</v>
      </c>
      <c r="C20" s="73"/>
    </row>
    <row r="21" spans="1:3" ht="51" customHeight="1" x14ac:dyDescent="0.25">
      <c r="A21" s="79" t="s">
        <v>31</v>
      </c>
      <c r="B21" s="80" t="s">
        <v>32</v>
      </c>
      <c r="C21" s="73"/>
    </row>
    <row r="22" spans="1:3" ht="79.5" customHeight="1" x14ac:dyDescent="0.25">
      <c r="A22" s="57" t="s">
        <v>33</v>
      </c>
      <c r="B22" s="76" t="s">
        <v>34</v>
      </c>
      <c r="C22" s="73"/>
    </row>
    <row r="23" spans="1:3" ht="46.5" customHeight="1" x14ac:dyDescent="0.25">
      <c r="A23" s="79" t="s">
        <v>35</v>
      </c>
      <c r="B23" s="80" t="s">
        <v>36</v>
      </c>
      <c r="C23" s="73"/>
    </row>
    <row r="24" spans="1:3" ht="77.25" customHeight="1" x14ac:dyDescent="0.25">
      <c r="A24" s="57" t="s">
        <v>37</v>
      </c>
      <c r="B24" s="76" t="s">
        <v>38</v>
      </c>
      <c r="C24" s="73"/>
    </row>
    <row r="25" spans="1:3" ht="22.5" customHeight="1" x14ac:dyDescent="0.25">
      <c r="A25" s="74" t="s">
        <v>39</v>
      </c>
      <c r="B25" s="71"/>
    </row>
    <row r="26" spans="1:3" ht="33" customHeight="1" x14ac:dyDescent="0.25">
      <c r="A26" s="77" t="s">
        <v>40</v>
      </c>
      <c r="B26" s="78" t="s">
        <v>41</v>
      </c>
      <c r="C26" s="73"/>
    </row>
    <row r="27" spans="1:3" ht="33" customHeight="1" x14ac:dyDescent="0.25">
      <c r="A27" s="47" t="s">
        <v>42</v>
      </c>
      <c r="B27" s="75" t="s">
        <v>43</v>
      </c>
      <c r="C27" s="73"/>
    </row>
    <row r="28" spans="1:3" ht="33" customHeight="1" x14ac:dyDescent="0.25">
      <c r="A28" s="77" t="s">
        <v>44</v>
      </c>
      <c r="B28" s="78" t="s">
        <v>45</v>
      </c>
      <c r="C28" s="73"/>
    </row>
    <row r="29" spans="1:3" ht="24.75" customHeight="1" x14ac:dyDescent="0.25">
      <c r="A29" s="71"/>
      <c r="B29" s="71"/>
    </row>
    <row r="30" spans="1:3" ht="24.75" customHeight="1" x14ac:dyDescent="0.25">
      <c r="A30" s="71"/>
      <c r="B30" s="71"/>
    </row>
    <row r="31" spans="1:3" ht="24.75" customHeight="1" x14ac:dyDescent="0.25">
      <c r="A31" s="71"/>
      <c r="B31" s="71"/>
    </row>
    <row r="32" spans="1:3" ht="24.75" customHeight="1" x14ac:dyDescent="0.25">
      <c r="A32" s="71"/>
      <c r="B32" s="71"/>
    </row>
    <row r="33" spans="1:2" ht="24.75" customHeight="1" x14ac:dyDescent="0.25">
      <c r="A33" s="71"/>
      <c r="B33" s="71"/>
    </row>
    <row r="34" spans="1:2" ht="24.75" customHeight="1" x14ac:dyDescent="0.25">
      <c r="A34" s="71"/>
      <c r="B34" s="71"/>
    </row>
    <row r="35" spans="1:2" ht="24.75" customHeight="1" x14ac:dyDescent="0.25">
      <c r="A35" s="71"/>
      <c r="B35" s="71"/>
    </row>
    <row r="36" spans="1:2" ht="24.75" customHeight="1" x14ac:dyDescent="0.25">
      <c r="A36" s="71"/>
      <c r="B36" s="71"/>
    </row>
    <row r="37" spans="1:2" ht="24.75" customHeight="1" x14ac:dyDescent="0.25">
      <c r="A37" s="71"/>
      <c r="B37" s="71"/>
    </row>
    <row r="38" spans="1:2" ht="24.75" customHeight="1" x14ac:dyDescent="0.25">
      <c r="A38" s="71"/>
      <c r="B38" s="71"/>
    </row>
    <row r="39" spans="1:2" ht="24.75" customHeight="1" x14ac:dyDescent="0.25">
      <c r="A39" s="71"/>
      <c r="B39" s="71"/>
    </row>
    <row r="40" spans="1:2" ht="24.75" customHeight="1" x14ac:dyDescent="0.25">
      <c r="A40" s="71"/>
      <c r="B40" s="71"/>
    </row>
    <row r="41" spans="1:2" ht="24.75" customHeight="1" x14ac:dyDescent="0.25">
      <c r="A41" s="71"/>
      <c r="B41" s="71"/>
    </row>
    <row r="42" spans="1:2" ht="24.75" customHeight="1" x14ac:dyDescent="0.25">
      <c r="A42" s="71"/>
      <c r="B42" s="71"/>
    </row>
    <row r="43" spans="1:2" ht="24.75" customHeight="1" x14ac:dyDescent="0.25">
      <c r="A43" s="71"/>
      <c r="B43" s="71"/>
    </row>
    <row r="44" spans="1:2" ht="24.75" customHeight="1" x14ac:dyDescent="0.25">
      <c r="A44" s="71"/>
      <c r="B44" s="71"/>
    </row>
    <row r="45" spans="1:2" ht="24.75" customHeight="1" x14ac:dyDescent="0.25">
      <c r="A45" s="71"/>
      <c r="B45" s="71"/>
    </row>
    <row r="46" spans="1:2" ht="24.75" customHeight="1" x14ac:dyDescent="0.25">
      <c r="A46" s="71"/>
      <c r="B46" s="71"/>
    </row>
    <row r="47" spans="1:2" ht="24.75" customHeight="1" x14ac:dyDescent="0.25">
      <c r="A47" s="71"/>
      <c r="B47" s="71"/>
    </row>
    <row r="48" spans="1:2" ht="24.75" customHeight="1" x14ac:dyDescent="0.25">
      <c r="A48" s="71"/>
      <c r="B48" s="71"/>
    </row>
    <row r="49" spans="1:2" ht="24.75" customHeight="1" x14ac:dyDescent="0.25">
      <c r="A49" s="71"/>
      <c r="B49" s="71"/>
    </row>
    <row r="50" spans="1:2" ht="24.75" customHeight="1" x14ac:dyDescent="0.25">
      <c r="A50" s="71"/>
      <c r="B50" s="71"/>
    </row>
    <row r="51" spans="1:2" ht="24.75" customHeight="1" x14ac:dyDescent="0.25">
      <c r="A51" s="71"/>
      <c r="B51" s="71"/>
    </row>
    <row r="52" spans="1:2" ht="24.75" customHeight="1" x14ac:dyDescent="0.25">
      <c r="A52" s="71"/>
      <c r="B52" s="71"/>
    </row>
    <row r="53" spans="1:2" ht="24.75" customHeight="1" x14ac:dyDescent="0.25">
      <c r="A53" s="71"/>
      <c r="B53" s="71"/>
    </row>
    <row r="54" spans="1:2" ht="24.75" customHeight="1" x14ac:dyDescent="0.25">
      <c r="A54" s="71"/>
      <c r="B54" s="71"/>
    </row>
    <row r="55" spans="1:2" ht="24.75" customHeight="1" x14ac:dyDescent="0.25">
      <c r="A55" s="71"/>
      <c r="B55" s="71"/>
    </row>
    <row r="56" spans="1:2" ht="24.75" customHeight="1" x14ac:dyDescent="0.25">
      <c r="A56" s="71"/>
      <c r="B56" s="71"/>
    </row>
    <row r="57" spans="1:2" ht="24.75" customHeight="1" x14ac:dyDescent="0.25">
      <c r="A57" s="71"/>
      <c r="B57" s="71"/>
    </row>
    <row r="58" spans="1:2" ht="24.75" customHeight="1" x14ac:dyDescent="0.25">
      <c r="A58" s="71"/>
      <c r="B58" s="71"/>
    </row>
    <row r="59" spans="1:2" ht="24.75" customHeight="1" x14ac:dyDescent="0.25">
      <c r="A59" s="71"/>
      <c r="B59" s="71"/>
    </row>
    <row r="60" spans="1:2" ht="24.75" customHeight="1" x14ac:dyDescent="0.25">
      <c r="A60" s="71"/>
      <c r="B60" s="71"/>
    </row>
  </sheetData>
  <mergeCells count="1">
    <mergeCell ref="A2:B2"/>
  </mergeCells>
  <pageMargins left="0.31496062992125984" right="0.31496062992125984" top="0.15748031496062992" bottom="0.15748031496062992" header="0.31496062992125984" footer="0.31496062992125984"/>
  <pageSetup paperSize="9" scale="67" fitToHeight="2"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DAB3F3-E928-47DB-B1BD-6866CCF83F1D}">
  <sheetPr>
    <tabColor theme="4" tint="-0.249977111117893"/>
  </sheetPr>
  <dimension ref="A1:EJ148"/>
  <sheetViews>
    <sheetView zoomScale="90" zoomScaleNormal="90" zoomScaleSheetLayoutView="90" workbookViewId="0">
      <pane xSplit="1" ySplit="1" topLeftCell="B2" activePane="bottomRight" state="frozen"/>
      <selection pane="topRight" activeCell="B1" sqref="B1"/>
      <selection pane="bottomLeft" activeCell="A2" sqref="A2"/>
      <selection pane="bottomRight" activeCell="C14" sqref="C14"/>
    </sheetView>
  </sheetViews>
  <sheetFormatPr baseColWidth="10" defaultColWidth="11.42578125" defaultRowHeight="15" x14ac:dyDescent="0.25"/>
  <cols>
    <col min="1" max="1" width="60" style="7" bestFit="1" customWidth="1"/>
    <col min="2" max="2" width="11" style="7" bestFit="1" customWidth="1"/>
    <col min="3" max="3" width="9.5703125" style="7" bestFit="1" customWidth="1"/>
    <col min="4" max="4" width="11" style="15" bestFit="1" customWidth="1"/>
    <col min="5" max="5" width="9.5703125" style="15" bestFit="1" customWidth="1"/>
    <col min="6" max="6" width="11" style="15" bestFit="1" customWidth="1"/>
    <col min="7" max="7" width="9.5703125" style="15" bestFit="1" customWidth="1"/>
    <col min="8" max="8" width="11" style="7" bestFit="1" customWidth="1"/>
    <col min="9" max="9" width="9.5703125" style="7" bestFit="1" customWidth="1"/>
    <col min="10" max="10" width="11" style="7" bestFit="1" customWidth="1"/>
    <col min="11" max="11" width="9.5703125" style="7" bestFit="1" customWidth="1"/>
    <col min="12" max="12" width="11" style="7" bestFit="1" customWidth="1"/>
    <col min="13" max="13" width="9.5703125" style="7" bestFit="1" customWidth="1"/>
    <col min="14" max="14" width="11" style="15" bestFit="1" customWidth="1"/>
    <col min="15" max="15" width="9.5703125" style="15" bestFit="1" customWidth="1"/>
    <col min="16" max="16" width="11" style="15" bestFit="1" customWidth="1"/>
    <col min="17" max="17" width="9.5703125" style="15" bestFit="1" customWidth="1"/>
    <col min="18" max="18" width="11" style="7" bestFit="1" customWidth="1"/>
    <col min="19" max="19" width="9.5703125" style="7" bestFit="1" customWidth="1"/>
    <col min="20" max="20" width="11" style="7" bestFit="1" customWidth="1"/>
    <col min="21" max="21" width="9.5703125" style="7" bestFit="1" customWidth="1"/>
    <col min="22" max="22" width="11" style="7" bestFit="1" customWidth="1"/>
    <col min="23" max="23" width="9.5703125" style="7" bestFit="1" customWidth="1"/>
    <col min="24" max="24" width="12.85546875" style="15" bestFit="1" customWidth="1"/>
    <col min="25" max="25" width="9.5703125" style="15" bestFit="1" customWidth="1"/>
    <col min="26" max="26" width="11" style="7" bestFit="1" customWidth="1"/>
    <col min="27" max="27" width="9.5703125" style="7" bestFit="1" customWidth="1"/>
    <col min="28" max="28" width="11" style="7" bestFit="1" customWidth="1"/>
    <col min="29" max="29" width="9.5703125" style="7" bestFit="1" customWidth="1"/>
    <col min="30" max="30" width="11" style="7" bestFit="1" customWidth="1"/>
    <col min="31" max="31" width="9.5703125" style="7" bestFit="1" customWidth="1"/>
    <col min="32" max="32" width="11" style="15" bestFit="1" customWidth="1"/>
    <col min="33" max="33" width="9.5703125" style="15" bestFit="1" customWidth="1"/>
    <col min="34" max="34" width="11" style="15" bestFit="1" customWidth="1"/>
    <col min="35" max="35" width="9.5703125" style="15" bestFit="1" customWidth="1"/>
    <col min="36" max="36" width="11" style="7" bestFit="1" customWidth="1"/>
    <col min="37" max="37" width="9.5703125" style="7" bestFit="1" customWidth="1"/>
    <col min="38" max="38" width="11" style="7" bestFit="1" customWidth="1"/>
    <col min="39" max="39" width="9.5703125" style="7" bestFit="1" customWidth="1"/>
    <col min="40" max="40" width="11" style="7" bestFit="1" customWidth="1"/>
    <col min="41" max="41" width="9.5703125" style="7" bestFit="1" customWidth="1"/>
    <col min="42" max="16384" width="11.42578125" style="7"/>
  </cols>
  <sheetData>
    <row r="1" spans="1:63" s="22" customFormat="1" x14ac:dyDescent="0.25">
      <c r="A1" s="28" t="s">
        <v>46</v>
      </c>
      <c r="B1" s="187">
        <v>44926</v>
      </c>
      <c r="C1" s="27" t="s">
        <v>145</v>
      </c>
      <c r="D1" s="25">
        <v>44834</v>
      </c>
      <c r="E1" s="26" t="s">
        <v>144</v>
      </c>
      <c r="F1" s="25">
        <v>44742</v>
      </c>
      <c r="G1" s="26" t="s">
        <v>47</v>
      </c>
      <c r="H1" s="25">
        <v>44651</v>
      </c>
      <c r="I1" s="26" t="s">
        <v>48</v>
      </c>
      <c r="J1" s="187">
        <v>44561</v>
      </c>
      <c r="K1" s="27" t="s">
        <v>49</v>
      </c>
      <c r="L1" s="177">
        <v>44469</v>
      </c>
      <c r="M1" s="27" t="s">
        <v>50</v>
      </c>
      <c r="N1" s="25">
        <v>44377</v>
      </c>
      <c r="O1" s="26" t="s">
        <v>51</v>
      </c>
      <c r="P1" s="25">
        <v>44286</v>
      </c>
      <c r="Q1" s="26" t="s">
        <v>52</v>
      </c>
      <c r="R1" s="187">
        <v>44196</v>
      </c>
      <c r="S1" s="27" t="s">
        <v>53</v>
      </c>
      <c r="T1" s="177">
        <v>44104</v>
      </c>
      <c r="U1" s="27" t="s">
        <v>54</v>
      </c>
      <c r="V1" s="25">
        <v>44012</v>
      </c>
      <c r="W1" s="26" t="s">
        <v>55</v>
      </c>
      <c r="X1" s="25">
        <v>43921</v>
      </c>
      <c r="Y1" s="26" t="s">
        <v>56</v>
      </c>
      <c r="Z1" s="187">
        <v>43830</v>
      </c>
      <c r="AA1" s="27" t="s">
        <v>57</v>
      </c>
      <c r="AB1" s="177">
        <v>43738</v>
      </c>
      <c r="AC1" s="27" t="s">
        <v>58</v>
      </c>
      <c r="AD1" s="25">
        <v>43646</v>
      </c>
      <c r="AE1" s="26" t="s">
        <v>59</v>
      </c>
      <c r="AF1" s="25">
        <v>43555</v>
      </c>
      <c r="AG1" s="26" t="s">
        <v>60</v>
      </c>
      <c r="AH1" s="93">
        <v>43465</v>
      </c>
      <c r="AI1" s="26" t="s">
        <v>61</v>
      </c>
      <c r="AJ1" s="25">
        <v>43373</v>
      </c>
      <c r="AK1" s="26" t="s">
        <v>62</v>
      </c>
      <c r="AL1" s="25">
        <v>43281</v>
      </c>
      <c r="AM1" s="26" t="s">
        <v>63</v>
      </c>
      <c r="AN1" s="25">
        <v>43190</v>
      </c>
      <c r="AO1" s="94" t="s">
        <v>64</v>
      </c>
      <c r="AP1" s="27"/>
      <c r="AQ1" s="28"/>
      <c r="AR1" s="28"/>
      <c r="AS1" s="28"/>
      <c r="AT1" s="28"/>
      <c r="AU1" s="28"/>
      <c r="AV1" s="28"/>
      <c r="AW1" s="28"/>
      <c r="AX1" s="28"/>
      <c r="AY1" s="28"/>
      <c r="AZ1" s="28"/>
      <c r="BA1" s="28"/>
      <c r="BB1" s="28"/>
      <c r="BC1" s="28"/>
      <c r="BD1" s="28"/>
      <c r="BE1" s="28"/>
      <c r="BF1" s="28"/>
      <c r="BG1" s="28"/>
      <c r="BH1" s="28"/>
      <c r="BI1" s="28"/>
      <c r="BJ1" s="28"/>
      <c r="BK1" s="28"/>
    </row>
    <row r="2" spans="1:63" x14ac:dyDescent="0.25">
      <c r="B2" s="106"/>
      <c r="J2" s="106"/>
      <c r="R2" s="106"/>
      <c r="Z2" s="106"/>
      <c r="AH2" s="95"/>
      <c r="AO2" s="96"/>
      <c r="AP2" s="15"/>
      <c r="AQ2" s="15"/>
      <c r="AR2" s="15"/>
      <c r="AS2" s="15"/>
      <c r="AT2" s="15"/>
      <c r="AU2" s="15"/>
      <c r="AV2" s="15"/>
      <c r="AW2" s="15"/>
      <c r="AX2" s="15"/>
      <c r="AY2" s="15"/>
      <c r="AZ2" s="15"/>
      <c r="BA2" s="15"/>
      <c r="BB2" s="15"/>
      <c r="BC2" s="15"/>
      <c r="BD2" s="15"/>
      <c r="BE2" s="15"/>
      <c r="BF2" s="15"/>
      <c r="BG2" s="15"/>
      <c r="BH2" s="15"/>
      <c r="BI2" s="15"/>
      <c r="BJ2" s="15"/>
      <c r="BK2" s="15"/>
    </row>
    <row r="3" spans="1:63" x14ac:dyDescent="0.25">
      <c r="A3" s="15" t="s">
        <v>65</v>
      </c>
      <c r="B3" s="97">
        <f>G3+C3+E3+I3</f>
        <v>3378</v>
      </c>
      <c r="C3" s="2">
        <v>1000</v>
      </c>
      <c r="D3" s="2">
        <f>I3+E3+G3</f>
        <v>2378</v>
      </c>
      <c r="E3" s="2">
        <v>829</v>
      </c>
      <c r="F3" s="2">
        <f>I3+G3</f>
        <v>1549</v>
      </c>
      <c r="G3" s="2">
        <v>796</v>
      </c>
      <c r="H3" s="2">
        <f>I3</f>
        <v>753</v>
      </c>
      <c r="I3" s="2">
        <v>753</v>
      </c>
      <c r="J3" s="97">
        <f>O3+K3+M3+Q3</f>
        <v>3156</v>
      </c>
      <c r="K3" s="2">
        <v>889</v>
      </c>
      <c r="L3" s="2">
        <f>Q3+M3+O3</f>
        <v>2267</v>
      </c>
      <c r="M3" s="2">
        <v>733</v>
      </c>
      <c r="N3" s="2">
        <f>Q3+O3</f>
        <v>1534</v>
      </c>
      <c r="O3" s="2">
        <v>816</v>
      </c>
      <c r="P3" s="2">
        <f>Q3</f>
        <v>718</v>
      </c>
      <c r="Q3" s="2">
        <v>718</v>
      </c>
      <c r="R3" s="97">
        <f>W3+S3+U3+Y3</f>
        <v>1589.932</v>
      </c>
      <c r="S3" s="2">
        <v>608</v>
      </c>
      <c r="T3" s="2">
        <f>Y3+U3+W3</f>
        <v>981.93200000000002</v>
      </c>
      <c r="U3" s="2">
        <v>505</v>
      </c>
      <c r="V3" s="2">
        <f>W3+Y3</f>
        <v>476.93200000000002</v>
      </c>
      <c r="W3" s="2">
        <v>255.94900000000001</v>
      </c>
      <c r="X3" s="2">
        <f>Y3</f>
        <v>220.983</v>
      </c>
      <c r="Y3" s="2">
        <v>220.983</v>
      </c>
      <c r="Z3" s="97">
        <f>AE3+AA3+AC3+AG3</f>
        <v>3124</v>
      </c>
      <c r="AA3" s="2">
        <v>485</v>
      </c>
      <c r="AB3" s="2">
        <f>AG3+AC3+AE3</f>
        <v>2639</v>
      </c>
      <c r="AC3" s="2">
        <v>593</v>
      </c>
      <c r="AD3" s="2">
        <f>AE3+AG3</f>
        <v>2046</v>
      </c>
      <c r="AE3" s="2">
        <v>900</v>
      </c>
      <c r="AF3" s="2">
        <f>AG3</f>
        <v>1146</v>
      </c>
      <c r="AG3" s="2">
        <v>1146</v>
      </c>
      <c r="AH3" s="97">
        <v>2295.9123329700055</v>
      </c>
      <c r="AI3" s="2">
        <v>527.40968886001497</v>
      </c>
      <c r="AJ3" s="2">
        <v>1768.5026441099906</v>
      </c>
      <c r="AK3" s="2">
        <v>633.92554623999126</v>
      </c>
      <c r="AL3" s="2">
        <v>1134.5770978699993</v>
      </c>
      <c r="AM3" s="2">
        <v>616.96496496999964</v>
      </c>
      <c r="AN3" s="2">
        <v>517.61213289999955</v>
      </c>
      <c r="AO3" s="98">
        <v>517.61213289999955</v>
      </c>
      <c r="AP3" s="15"/>
      <c r="AQ3" s="15"/>
      <c r="AR3" s="15"/>
      <c r="AS3" s="15"/>
      <c r="AT3" s="15"/>
      <c r="AU3" s="15"/>
      <c r="AV3" s="15"/>
      <c r="AW3" s="15"/>
      <c r="AX3" s="15"/>
      <c r="AY3" s="15"/>
      <c r="AZ3" s="15"/>
      <c r="BA3" s="15"/>
      <c r="BB3" s="15"/>
      <c r="BC3" s="15"/>
      <c r="BD3" s="15"/>
      <c r="BE3" s="15"/>
      <c r="BF3" s="15"/>
      <c r="BG3" s="15"/>
      <c r="BH3" s="15"/>
      <c r="BI3" s="15"/>
      <c r="BJ3" s="15"/>
      <c r="BK3" s="15"/>
    </row>
    <row r="4" spans="1:63" x14ac:dyDescent="0.25">
      <c r="A4" s="19" t="s">
        <v>66</v>
      </c>
      <c r="B4" s="188">
        <f>E4+C4+G4+I4</f>
        <v>84.994</v>
      </c>
      <c r="C4" s="32">
        <v>24.466000000000001</v>
      </c>
      <c r="D4" s="3">
        <f>G4+E4+I4</f>
        <v>60.528000000000006</v>
      </c>
      <c r="E4" s="56">
        <v>20</v>
      </c>
      <c r="F4" s="3">
        <f>I4+G4</f>
        <v>40.527999999999999</v>
      </c>
      <c r="G4" s="56">
        <v>21.2</v>
      </c>
      <c r="H4" s="86">
        <f>I4</f>
        <v>19.327999999999999</v>
      </c>
      <c r="I4" s="174">
        <v>19.327999999999999</v>
      </c>
      <c r="J4" s="188">
        <f>M4+K4+O4+Q4</f>
        <v>66.609000000000009</v>
      </c>
      <c r="K4" s="32">
        <v>17.719000000000001</v>
      </c>
      <c r="L4" s="32">
        <f>O4+M4+Q4</f>
        <v>48.89</v>
      </c>
      <c r="M4" s="32">
        <v>17.143000000000001</v>
      </c>
      <c r="N4" s="56">
        <v>31.747</v>
      </c>
      <c r="O4" s="56">
        <f>N4-P4</f>
        <v>14.061</v>
      </c>
      <c r="P4" s="56">
        <f>Q4</f>
        <v>17.686</v>
      </c>
      <c r="Q4" s="174">
        <v>17.686</v>
      </c>
      <c r="R4" s="188">
        <f>U4+S4+W4+Y4</f>
        <v>87.539999999999992</v>
      </c>
      <c r="S4" s="32">
        <f>21</f>
        <v>21</v>
      </c>
      <c r="T4" s="32">
        <f>W4+U4+Y4</f>
        <v>66.539999999999992</v>
      </c>
      <c r="U4" s="32">
        <v>18</v>
      </c>
      <c r="V4" s="32">
        <v>48.54</v>
      </c>
      <c r="W4" s="3">
        <f>V4-X4</f>
        <v>23.96</v>
      </c>
      <c r="X4" s="56">
        <f>Y4</f>
        <v>24.58</v>
      </c>
      <c r="Y4" s="174">
        <v>24.58</v>
      </c>
      <c r="Z4" s="188">
        <f>AC4+AA4+AE4+AG4</f>
        <v>40</v>
      </c>
      <c r="AA4" s="32">
        <v>15</v>
      </c>
      <c r="AB4" s="32">
        <f>AE4+AC4+AG4</f>
        <v>25</v>
      </c>
      <c r="AC4" s="32">
        <v>12</v>
      </c>
      <c r="AD4" s="32">
        <f>AG4+AE4</f>
        <v>13</v>
      </c>
      <c r="AE4" s="3">
        <v>9</v>
      </c>
      <c r="AF4" s="56">
        <f>AG4</f>
        <v>4</v>
      </c>
      <c r="AG4" s="174">
        <v>4</v>
      </c>
      <c r="AH4" s="99">
        <v>4.764621</v>
      </c>
      <c r="AI4" s="1">
        <v>1.1309969999999998</v>
      </c>
      <c r="AJ4" s="3">
        <v>3.6336240000000002</v>
      </c>
      <c r="AK4" s="3">
        <v>1.2030830000000003</v>
      </c>
      <c r="AL4" s="32">
        <v>2.4305409999999998</v>
      </c>
      <c r="AM4" s="32">
        <v>1.2923659999999999</v>
      </c>
      <c r="AN4" s="32">
        <v>1.1381749999999999</v>
      </c>
      <c r="AO4" s="100">
        <v>1.1381749999999999</v>
      </c>
      <c r="AP4" s="15"/>
      <c r="AQ4" s="15"/>
      <c r="AR4" s="15"/>
      <c r="AS4" s="15"/>
      <c r="AT4" s="15"/>
      <c r="AU4" s="15"/>
      <c r="AV4" s="15"/>
      <c r="AW4" s="15"/>
      <c r="AX4" s="15"/>
      <c r="AY4" s="15"/>
      <c r="AZ4" s="15"/>
      <c r="BA4" s="15"/>
      <c r="BB4" s="15"/>
      <c r="BC4" s="15"/>
      <c r="BD4" s="15"/>
      <c r="BE4" s="15"/>
      <c r="BF4" s="15"/>
      <c r="BG4" s="15"/>
      <c r="BH4" s="15"/>
      <c r="BI4" s="15"/>
      <c r="BJ4" s="15"/>
      <c r="BK4" s="15"/>
    </row>
    <row r="5" spans="1:63" x14ac:dyDescent="0.25">
      <c r="A5" s="45" t="s">
        <v>67</v>
      </c>
      <c r="B5" s="142">
        <f t="shared" ref="B5:C5" si="0">B3-B4</f>
        <v>3293.0059999999999</v>
      </c>
      <c r="C5" s="2">
        <f t="shared" si="0"/>
        <v>975.53399999999999</v>
      </c>
      <c r="D5" s="33">
        <f t="shared" ref="D5:E5" si="1">D3-D4</f>
        <v>2317.4720000000002</v>
      </c>
      <c r="E5" s="33">
        <f t="shared" si="1"/>
        <v>809</v>
      </c>
      <c r="F5" s="33">
        <f t="shared" ref="F5:G5" si="2">F3-F4</f>
        <v>1508.472</v>
      </c>
      <c r="G5" s="33">
        <f t="shared" si="2"/>
        <v>774.8</v>
      </c>
      <c r="H5" s="33">
        <f t="shared" ref="H5:I5" si="3">H3-H4</f>
        <v>733.67200000000003</v>
      </c>
      <c r="I5" s="33">
        <f t="shared" si="3"/>
        <v>733.67200000000003</v>
      </c>
      <c r="J5" s="142">
        <f t="shared" ref="J5:K5" si="4">J3-J4</f>
        <v>3089.3910000000001</v>
      </c>
      <c r="K5" s="2">
        <f t="shared" si="4"/>
        <v>871.28099999999995</v>
      </c>
      <c r="L5" s="33">
        <f t="shared" ref="L5:M5" si="5">L3-L4</f>
        <v>2218.11</v>
      </c>
      <c r="M5" s="2">
        <f t="shared" si="5"/>
        <v>715.85699999999997</v>
      </c>
      <c r="N5" s="33">
        <f t="shared" ref="N5:Q5" si="6">N3-N4</f>
        <v>1502.2529999999999</v>
      </c>
      <c r="O5" s="33">
        <f t="shared" si="6"/>
        <v>801.93899999999996</v>
      </c>
      <c r="P5" s="33">
        <f t="shared" si="6"/>
        <v>700.31399999999996</v>
      </c>
      <c r="Q5" s="33">
        <f t="shared" si="6"/>
        <v>700.31399999999996</v>
      </c>
      <c r="R5" s="142">
        <f t="shared" ref="R5:S5" si="7">R3-R4</f>
        <v>1502.3920000000001</v>
      </c>
      <c r="S5" s="2">
        <f t="shared" si="7"/>
        <v>587</v>
      </c>
      <c r="T5" s="33">
        <f t="shared" ref="T5:U5" si="8">T3-T4</f>
        <v>915.39200000000005</v>
      </c>
      <c r="U5" s="2">
        <f t="shared" si="8"/>
        <v>487</v>
      </c>
      <c r="V5" s="33">
        <f t="shared" ref="V5:W5" si="9">V3-V4</f>
        <v>428.392</v>
      </c>
      <c r="W5" s="2">
        <f t="shared" si="9"/>
        <v>231.989</v>
      </c>
      <c r="X5" s="33">
        <f t="shared" ref="X5:Y5" si="10">X3-X4</f>
        <v>196.40300000000002</v>
      </c>
      <c r="Y5" s="200">
        <f t="shared" si="10"/>
        <v>196.40300000000002</v>
      </c>
      <c r="Z5" s="142">
        <f t="shared" ref="Z5:AD5" si="11">Z3-Z4</f>
        <v>3084</v>
      </c>
      <c r="AA5" s="2">
        <f t="shared" si="11"/>
        <v>470</v>
      </c>
      <c r="AB5" s="33">
        <f t="shared" si="11"/>
        <v>2614</v>
      </c>
      <c r="AC5" s="2">
        <f t="shared" ref="AC5:AG5" si="12">AC3-AC4</f>
        <v>581</v>
      </c>
      <c r="AD5" s="33">
        <f t="shared" si="11"/>
        <v>2033</v>
      </c>
      <c r="AE5" s="2">
        <f t="shared" si="12"/>
        <v>891</v>
      </c>
      <c r="AF5" s="33">
        <f t="shared" si="12"/>
        <v>1142</v>
      </c>
      <c r="AG5" s="102">
        <f t="shared" si="12"/>
        <v>1142</v>
      </c>
      <c r="AH5" s="101">
        <v>2291.1477119700057</v>
      </c>
      <c r="AI5" s="91">
        <v>526.27869186001499</v>
      </c>
      <c r="AJ5" s="2">
        <v>1764.8690201099905</v>
      </c>
      <c r="AK5" s="2">
        <v>632.72246323999127</v>
      </c>
      <c r="AL5" s="33">
        <v>1132.1465568699994</v>
      </c>
      <c r="AM5" s="33">
        <v>615.67259896999963</v>
      </c>
      <c r="AN5" s="33">
        <v>516.4739578999995</v>
      </c>
      <c r="AO5" s="102">
        <v>516.4739578999995</v>
      </c>
      <c r="AP5" s="15"/>
      <c r="AQ5" s="15"/>
      <c r="AR5" s="15"/>
      <c r="AS5" s="15"/>
      <c r="AT5" s="15"/>
      <c r="AU5" s="15"/>
      <c r="AV5" s="15"/>
      <c r="AW5" s="15"/>
      <c r="AX5" s="15"/>
      <c r="AY5" s="15"/>
      <c r="AZ5" s="15"/>
      <c r="BA5" s="15"/>
      <c r="BB5" s="15"/>
      <c r="BC5" s="15"/>
      <c r="BD5" s="15"/>
      <c r="BE5" s="15"/>
      <c r="BF5" s="15"/>
      <c r="BG5" s="15"/>
      <c r="BH5" s="15"/>
      <c r="BI5" s="15"/>
      <c r="BJ5" s="15"/>
      <c r="BK5" s="15"/>
    </row>
    <row r="6" spans="1:63" x14ac:dyDescent="0.25">
      <c r="A6" s="15"/>
      <c r="B6" s="137"/>
      <c r="C6" s="15"/>
      <c r="H6" s="15"/>
      <c r="I6" s="15"/>
      <c r="J6" s="137"/>
      <c r="K6" s="15"/>
      <c r="L6" s="5"/>
      <c r="M6" s="15"/>
      <c r="R6" s="137"/>
      <c r="S6" s="15"/>
      <c r="T6" s="5"/>
      <c r="U6" s="15"/>
      <c r="V6" s="5"/>
      <c r="W6" s="15"/>
      <c r="Z6" s="137"/>
      <c r="AA6" s="15"/>
      <c r="AB6" s="5"/>
      <c r="AC6" s="15"/>
      <c r="AD6" s="5"/>
      <c r="AE6" s="15"/>
      <c r="AH6" s="95"/>
      <c r="AJ6" s="5"/>
      <c r="AK6" s="5"/>
      <c r="AL6" s="5"/>
      <c r="AM6" s="5"/>
      <c r="AN6" s="5"/>
      <c r="AO6" s="103"/>
      <c r="AP6" s="15"/>
      <c r="AQ6" s="15"/>
      <c r="AR6" s="15"/>
      <c r="AS6" s="15"/>
      <c r="AT6" s="15"/>
      <c r="AU6" s="15"/>
      <c r="AV6" s="15"/>
      <c r="AW6" s="15"/>
      <c r="AX6" s="15"/>
      <c r="AY6" s="15"/>
      <c r="AZ6" s="15"/>
      <c r="BA6" s="15"/>
      <c r="BB6" s="15"/>
      <c r="BC6" s="15"/>
      <c r="BD6" s="15"/>
      <c r="BE6" s="15"/>
      <c r="BF6" s="15"/>
      <c r="BG6" s="15"/>
      <c r="BH6" s="15"/>
      <c r="BI6" s="15"/>
      <c r="BJ6" s="15"/>
      <c r="BK6" s="15"/>
    </row>
    <row r="7" spans="1:63" x14ac:dyDescent="0.25">
      <c r="A7" s="15" t="s">
        <v>68</v>
      </c>
      <c r="B7" s="97">
        <f>C7</f>
        <v>28889</v>
      </c>
      <c r="C7" s="2">
        <v>28889</v>
      </c>
      <c r="D7" s="2">
        <f>E7</f>
        <v>28003</v>
      </c>
      <c r="E7" s="2">
        <v>28003</v>
      </c>
      <c r="F7" s="2">
        <f>G7</f>
        <v>27141</v>
      </c>
      <c r="G7" s="2">
        <v>27141</v>
      </c>
      <c r="H7" s="2">
        <f>I7</f>
        <v>28016</v>
      </c>
      <c r="I7" s="2">
        <v>28016</v>
      </c>
      <c r="J7" s="97">
        <f>K7</f>
        <v>27179</v>
      </c>
      <c r="K7" s="2">
        <v>27179</v>
      </c>
      <c r="L7" s="2">
        <f>M7</f>
        <v>26351</v>
      </c>
      <c r="M7" s="2">
        <v>26351</v>
      </c>
      <c r="N7" s="2">
        <f>O7</f>
        <v>26419</v>
      </c>
      <c r="O7" s="2">
        <v>26419</v>
      </c>
      <c r="P7" s="2">
        <f>Q7</f>
        <v>25661</v>
      </c>
      <c r="Q7" s="2">
        <v>25661</v>
      </c>
      <c r="R7" s="97">
        <f>S7</f>
        <v>26393</v>
      </c>
      <c r="S7" s="2">
        <v>26393</v>
      </c>
      <c r="T7" s="2">
        <f>U7</f>
        <v>25764</v>
      </c>
      <c r="U7" s="2">
        <v>25764</v>
      </c>
      <c r="V7" s="2">
        <f>W7</f>
        <v>25203</v>
      </c>
      <c r="W7" s="2">
        <v>25203</v>
      </c>
      <c r="X7" s="2">
        <f>Y7</f>
        <v>25008</v>
      </c>
      <c r="Y7" s="2">
        <v>25008</v>
      </c>
      <c r="Z7" s="97">
        <f>AA7</f>
        <v>24834</v>
      </c>
      <c r="AA7" s="2">
        <v>24834</v>
      </c>
      <c r="AB7" s="2">
        <f>AC7</f>
        <v>23645</v>
      </c>
      <c r="AC7" s="2">
        <v>23645</v>
      </c>
      <c r="AD7" s="2">
        <f>AE7</f>
        <v>23094</v>
      </c>
      <c r="AE7" s="2">
        <v>23094</v>
      </c>
      <c r="AF7" s="2">
        <f>AG7</f>
        <v>23114</v>
      </c>
      <c r="AG7" s="2">
        <v>23114</v>
      </c>
      <c r="AH7" s="97">
        <v>21584.663038989998</v>
      </c>
      <c r="AI7" s="2">
        <v>21584.663038989998</v>
      </c>
      <c r="AJ7" s="2">
        <v>21008.049352730101</v>
      </c>
      <c r="AK7" s="2">
        <v>21008.049352730101</v>
      </c>
      <c r="AL7" s="2">
        <v>19907.898292170099</v>
      </c>
      <c r="AM7" s="2">
        <v>19907.898292170099</v>
      </c>
      <c r="AN7" s="2">
        <v>20400.052938220098</v>
      </c>
      <c r="AO7" s="98">
        <v>20400.052938220098</v>
      </c>
      <c r="AP7" s="15"/>
      <c r="AQ7" s="15"/>
      <c r="AR7" s="15"/>
      <c r="AS7" s="15"/>
      <c r="AT7" s="15"/>
      <c r="AU7" s="15"/>
      <c r="AV7" s="15"/>
      <c r="AW7" s="15"/>
      <c r="AX7" s="15"/>
      <c r="AY7" s="15"/>
      <c r="AZ7" s="15"/>
      <c r="BA7" s="15"/>
      <c r="BB7" s="15"/>
      <c r="BC7" s="15"/>
      <c r="BD7" s="15"/>
      <c r="BE7" s="15"/>
      <c r="BF7" s="15"/>
      <c r="BG7" s="15"/>
      <c r="BH7" s="15"/>
      <c r="BI7" s="15"/>
      <c r="BJ7" s="15"/>
      <c r="BK7" s="15"/>
    </row>
    <row r="8" spans="1:63" s="15" customFormat="1" x14ac:dyDescent="0.25">
      <c r="A8" s="19" t="s">
        <v>69</v>
      </c>
      <c r="B8" s="104">
        <f>C8</f>
        <v>1700</v>
      </c>
      <c r="C8" s="3">
        <v>1700</v>
      </c>
      <c r="D8" s="3">
        <f>E8</f>
        <v>1700</v>
      </c>
      <c r="E8" s="3">
        <v>1700</v>
      </c>
      <c r="F8" s="3">
        <f>G8</f>
        <v>1700</v>
      </c>
      <c r="G8" s="3">
        <v>1700</v>
      </c>
      <c r="H8" s="3">
        <f>I8</f>
        <v>1850</v>
      </c>
      <c r="I8" s="3">
        <v>1850</v>
      </c>
      <c r="J8" s="104">
        <f>K8</f>
        <v>1850</v>
      </c>
      <c r="K8" s="3">
        <v>1850</v>
      </c>
      <c r="L8" s="3">
        <f>M8</f>
        <v>1850</v>
      </c>
      <c r="M8" s="3">
        <v>1850</v>
      </c>
      <c r="N8" s="3">
        <f>O8</f>
        <v>1850</v>
      </c>
      <c r="O8" s="3">
        <v>1850</v>
      </c>
      <c r="P8" s="3">
        <f>Q8</f>
        <v>1850</v>
      </c>
      <c r="Q8" s="3">
        <v>1850</v>
      </c>
      <c r="R8" s="104">
        <f>S8</f>
        <v>1850</v>
      </c>
      <c r="S8" s="3">
        <v>1850</v>
      </c>
      <c r="T8" s="3">
        <f>U8</f>
        <v>1850</v>
      </c>
      <c r="U8" s="3">
        <v>1850</v>
      </c>
      <c r="V8" s="3">
        <f>W8</f>
        <v>1850</v>
      </c>
      <c r="W8" s="3">
        <v>1850</v>
      </c>
      <c r="X8" s="3">
        <f>Y8</f>
        <v>1850</v>
      </c>
      <c r="Y8" s="3">
        <v>1850</v>
      </c>
      <c r="Z8" s="104">
        <f>AA8</f>
        <v>1850</v>
      </c>
      <c r="AA8" s="3">
        <v>1850</v>
      </c>
      <c r="AB8" s="3">
        <f>AC8</f>
        <v>1250</v>
      </c>
      <c r="AC8" s="3">
        <v>1250</v>
      </c>
      <c r="AD8" s="3">
        <f>AE8</f>
        <v>1250</v>
      </c>
      <c r="AE8" s="3">
        <v>1250</v>
      </c>
      <c r="AF8" s="3">
        <f>AG8</f>
        <v>1000</v>
      </c>
      <c r="AG8" s="3">
        <v>1000</v>
      </c>
      <c r="AH8" s="104">
        <v>550</v>
      </c>
      <c r="AI8" s="3">
        <v>550</v>
      </c>
      <c r="AJ8" s="3">
        <v>550</v>
      </c>
      <c r="AK8" s="3">
        <v>550</v>
      </c>
      <c r="AL8" s="3">
        <v>150</v>
      </c>
      <c r="AM8" s="3">
        <v>150</v>
      </c>
      <c r="AN8" s="3">
        <v>150</v>
      </c>
      <c r="AO8" s="105">
        <v>150</v>
      </c>
    </row>
    <row r="9" spans="1:63" x14ac:dyDescent="0.25">
      <c r="A9" s="15" t="s">
        <v>70</v>
      </c>
      <c r="B9" s="97">
        <f t="shared" ref="B9:C9" si="13">B7-B8</f>
        <v>27189</v>
      </c>
      <c r="C9" s="2">
        <f t="shared" si="13"/>
        <v>27189</v>
      </c>
      <c r="D9" s="2">
        <f t="shared" ref="D9:E9" si="14">D7-D8</f>
        <v>26303</v>
      </c>
      <c r="E9" s="2">
        <f t="shared" si="14"/>
        <v>26303</v>
      </c>
      <c r="F9" s="2">
        <f t="shared" ref="F9:G9" si="15">F7-F8</f>
        <v>25441</v>
      </c>
      <c r="G9" s="2">
        <f t="shared" si="15"/>
        <v>25441</v>
      </c>
      <c r="H9" s="2">
        <f t="shared" ref="H9:I9" si="16">H7-H8</f>
        <v>26166</v>
      </c>
      <c r="I9" s="2">
        <f t="shared" si="16"/>
        <v>26166</v>
      </c>
      <c r="J9" s="97">
        <f t="shared" ref="J9:K9" si="17">J7-J8</f>
        <v>25329</v>
      </c>
      <c r="K9" s="2">
        <f t="shared" si="17"/>
        <v>25329</v>
      </c>
      <c r="L9" s="2">
        <f t="shared" ref="L9:M9" si="18">L7-L8</f>
        <v>24501</v>
      </c>
      <c r="M9" s="2">
        <f t="shared" si="18"/>
        <v>24501</v>
      </c>
      <c r="N9" s="2">
        <f t="shared" ref="N9:Q9" si="19">N7-N8</f>
        <v>24569</v>
      </c>
      <c r="O9" s="2">
        <f t="shared" si="19"/>
        <v>24569</v>
      </c>
      <c r="P9" s="2">
        <f t="shared" si="19"/>
        <v>23811</v>
      </c>
      <c r="Q9" s="2">
        <f t="shared" si="19"/>
        <v>23811</v>
      </c>
      <c r="R9" s="97">
        <f t="shared" ref="R9:S9" si="20">R7-R8</f>
        <v>24543</v>
      </c>
      <c r="S9" s="2">
        <f t="shared" si="20"/>
        <v>24543</v>
      </c>
      <c r="T9" s="2">
        <f t="shared" ref="T9:U9" si="21">T7-T8</f>
        <v>23914</v>
      </c>
      <c r="U9" s="2">
        <f t="shared" si="21"/>
        <v>23914</v>
      </c>
      <c r="V9" s="2">
        <f t="shared" ref="V9:W9" si="22">V7-V8</f>
        <v>23353</v>
      </c>
      <c r="W9" s="2">
        <f t="shared" si="22"/>
        <v>23353</v>
      </c>
      <c r="X9" s="2">
        <f t="shared" ref="X9:Y9" si="23">X7-X8</f>
        <v>23158</v>
      </c>
      <c r="Y9" s="2">
        <f t="shared" si="23"/>
        <v>23158</v>
      </c>
      <c r="Z9" s="97">
        <f t="shared" ref="Z9:AD9" si="24">Z7-Z8</f>
        <v>22984</v>
      </c>
      <c r="AA9" s="2">
        <f t="shared" si="24"/>
        <v>22984</v>
      </c>
      <c r="AB9" s="2">
        <f t="shared" si="24"/>
        <v>22395</v>
      </c>
      <c r="AC9" s="2">
        <f t="shared" ref="AC9:AG9" si="25">AC7-AC8</f>
        <v>22395</v>
      </c>
      <c r="AD9" s="2">
        <f t="shared" si="24"/>
        <v>21844</v>
      </c>
      <c r="AE9" s="2">
        <f t="shared" si="25"/>
        <v>21844</v>
      </c>
      <c r="AF9" s="2">
        <f t="shared" si="25"/>
        <v>22114</v>
      </c>
      <c r="AG9" s="98">
        <f t="shared" si="25"/>
        <v>22114</v>
      </c>
      <c r="AH9" s="97">
        <v>21034.663038989998</v>
      </c>
      <c r="AI9" s="2">
        <v>21034.663038989998</v>
      </c>
      <c r="AJ9" s="2">
        <v>20458.049352730101</v>
      </c>
      <c r="AK9" s="2">
        <v>20458.049352730101</v>
      </c>
      <c r="AL9" s="2">
        <v>19757.898292170099</v>
      </c>
      <c r="AM9" s="2">
        <v>19757.898292170099</v>
      </c>
      <c r="AN9" s="2">
        <v>20250.052938220098</v>
      </c>
      <c r="AO9" s="98">
        <v>20250.052938220098</v>
      </c>
      <c r="AP9" s="15"/>
      <c r="AQ9" s="15"/>
      <c r="AR9" s="15"/>
      <c r="AS9" s="15"/>
      <c r="AT9" s="15"/>
      <c r="AU9" s="15"/>
      <c r="AV9" s="15"/>
      <c r="AW9" s="15"/>
      <c r="AX9" s="15"/>
      <c r="AY9" s="15"/>
      <c r="AZ9" s="15"/>
      <c r="BA9" s="15"/>
      <c r="BB9" s="15"/>
      <c r="BC9" s="15"/>
      <c r="BD9" s="15"/>
      <c r="BE9" s="15"/>
      <c r="BF9" s="15"/>
      <c r="BG9" s="15"/>
      <c r="BH9" s="15"/>
      <c r="BI9" s="15"/>
      <c r="BJ9" s="15"/>
      <c r="BK9" s="15"/>
    </row>
    <row r="10" spans="1:63" x14ac:dyDescent="0.25">
      <c r="B10" s="137"/>
      <c r="D10" s="7"/>
      <c r="E10" s="7"/>
      <c r="F10" s="7"/>
      <c r="G10" s="7"/>
      <c r="J10" s="137"/>
      <c r="L10" s="5"/>
      <c r="N10" s="7"/>
      <c r="O10" s="7"/>
      <c r="P10" s="7"/>
      <c r="Q10" s="7"/>
      <c r="R10" s="137"/>
      <c r="T10" s="5"/>
      <c r="V10" s="5"/>
      <c r="X10" s="7"/>
      <c r="Y10" s="7"/>
      <c r="Z10" s="137"/>
      <c r="AB10" s="5"/>
      <c r="AD10" s="5"/>
      <c r="AF10" s="7"/>
      <c r="AG10" s="7"/>
      <c r="AH10" s="106"/>
      <c r="AI10" s="7"/>
      <c r="AJ10" s="5"/>
      <c r="AK10" s="5"/>
      <c r="AL10" s="5"/>
      <c r="AM10" s="5"/>
      <c r="AN10" s="5"/>
      <c r="AO10" s="103"/>
      <c r="AP10" s="15"/>
      <c r="AQ10" s="15"/>
      <c r="AR10" s="15"/>
      <c r="AS10" s="15"/>
      <c r="AT10" s="15"/>
      <c r="AU10" s="15"/>
      <c r="AV10" s="15"/>
      <c r="AW10" s="15"/>
      <c r="AX10" s="15"/>
      <c r="AY10" s="15"/>
      <c r="AZ10" s="15"/>
      <c r="BA10" s="15"/>
      <c r="BB10" s="15"/>
      <c r="BC10" s="15"/>
      <c r="BD10" s="15"/>
      <c r="BE10" s="15"/>
      <c r="BF10" s="15"/>
      <c r="BG10" s="15"/>
      <c r="BH10" s="15"/>
      <c r="BI10" s="15"/>
      <c r="BJ10" s="15"/>
      <c r="BK10" s="15"/>
    </row>
    <row r="11" spans="1:63" s="15" customFormat="1" x14ac:dyDescent="0.25">
      <c r="A11" s="15" t="s">
        <v>71</v>
      </c>
      <c r="B11" s="97">
        <f>(B9+D9+F9+H9+J9)/5</f>
        <v>26085.599999999999</v>
      </c>
      <c r="C11" s="2">
        <f>(C9+E9)/2</f>
        <v>26746</v>
      </c>
      <c r="D11" s="2">
        <f>(D9+F9+H9+J9)/4</f>
        <v>25809.75</v>
      </c>
      <c r="E11" s="2">
        <f>(G9+E9)/2</f>
        <v>25872</v>
      </c>
      <c r="F11" s="2">
        <f>(F9+H9+J9)/3</f>
        <v>25645.333333333332</v>
      </c>
      <c r="G11" s="2">
        <f>(G9+I9)/2</f>
        <v>25803.5</v>
      </c>
      <c r="H11" s="2">
        <f>(H9+J9)/2</f>
        <v>25747.5</v>
      </c>
      <c r="I11" s="2">
        <f>(I9+K9)/2</f>
        <v>25747.5</v>
      </c>
      <c r="J11" s="97">
        <f>(J9+L9+N9+P9+R9)/5</f>
        <v>24550.6</v>
      </c>
      <c r="K11" s="2">
        <f>(K9+M9)/2</f>
        <v>24915</v>
      </c>
      <c r="L11" s="2">
        <f>(L9+N9+P9+R9)/4</f>
        <v>24356</v>
      </c>
      <c r="M11" s="2">
        <f>(O9+M9)/2</f>
        <v>24535</v>
      </c>
      <c r="N11" s="2">
        <f>(N9+P9+R9)/3</f>
        <v>24307.666666666668</v>
      </c>
      <c r="O11" s="2">
        <f>(O9+Q9)/2</f>
        <v>24190</v>
      </c>
      <c r="P11" s="2">
        <f>(P9+R9)/2</f>
        <v>24177</v>
      </c>
      <c r="Q11" s="2">
        <f>(P9+R9)/2</f>
        <v>24177</v>
      </c>
      <c r="R11" s="97">
        <f>(R9+T9+V9+X9+Z9)/5</f>
        <v>23590.400000000001</v>
      </c>
      <c r="S11" s="2">
        <f>(S9+U9)/2</f>
        <v>24228.5</v>
      </c>
      <c r="T11" s="2">
        <f>(T9+V9+X9+Z9)/4</f>
        <v>23352.25</v>
      </c>
      <c r="U11" s="2">
        <f>(W9+U9)/2</f>
        <v>23633.5</v>
      </c>
      <c r="V11" s="2">
        <f>(V9+X9+Z9)/3</f>
        <v>23165</v>
      </c>
      <c r="W11" s="2">
        <f>(W9+Y9)/2</f>
        <v>23255.5</v>
      </c>
      <c r="X11" s="2">
        <f>(X9+Z9)/2</f>
        <v>23071</v>
      </c>
      <c r="Y11" s="2">
        <f>(X9+Z9)/2</f>
        <v>23071</v>
      </c>
      <c r="Z11" s="97">
        <f>(Z9+AB9+AD9+AF9+AH9)/5</f>
        <v>22074.332607797998</v>
      </c>
      <c r="AA11" s="2">
        <f>(AA9+AC9)/2</f>
        <v>22689.5</v>
      </c>
      <c r="AB11" s="2">
        <f>(AB9+AD9+AF9+AH9)/4</f>
        <v>21846.915759747499</v>
      </c>
      <c r="AC11" s="2">
        <f>(AE9+AC9)/2</f>
        <v>22119.5</v>
      </c>
      <c r="AD11" s="2">
        <f>(AD9+AF9+AH9)/3</f>
        <v>21664.221012996666</v>
      </c>
      <c r="AE11" s="2">
        <f>(AE9+AG9)/2</f>
        <v>21979</v>
      </c>
      <c r="AF11" s="2">
        <f>(AF9+AH9)/2</f>
        <v>21574.331519494997</v>
      </c>
      <c r="AG11" s="98">
        <f>(AF9+AH9)/2</f>
        <v>21574.331519494997</v>
      </c>
      <c r="AH11" s="97">
        <v>20247.928906977981</v>
      </c>
      <c r="AI11" s="2">
        <v>20746.356195860048</v>
      </c>
      <c r="AJ11" s="2">
        <v>20051.245373974973</v>
      </c>
      <c r="AK11" s="2">
        <v>20107.973822450098</v>
      </c>
      <c r="AL11" s="2">
        <v>19915.644047723268</v>
      </c>
      <c r="AM11" s="2">
        <v>20003.975615195101</v>
      </c>
      <c r="AN11" s="2">
        <v>19994.516925499847</v>
      </c>
      <c r="AO11" s="98">
        <v>19994.516925499847</v>
      </c>
    </row>
    <row r="12" spans="1:63" x14ac:dyDescent="0.25">
      <c r="B12" s="137"/>
      <c r="D12" s="7"/>
      <c r="E12" s="7"/>
      <c r="F12" s="7"/>
      <c r="G12" s="7"/>
      <c r="J12" s="137"/>
      <c r="L12" s="5"/>
      <c r="N12" s="7"/>
      <c r="O12" s="7"/>
      <c r="P12" s="7"/>
      <c r="Q12" s="7"/>
      <c r="R12" s="137"/>
      <c r="T12" s="5"/>
      <c r="V12" s="5"/>
      <c r="X12" s="7"/>
      <c r="Y12" s="7"/>
      <c r="Z12" s="137"/>
      <c r="AB12" s="5"/>
      <c r="AD12" s="5"/>
      <c r="AF12" s="7"/>
      <c r="AG12" s="7"/>
      <c r="AH12" s="106"/>
      <c r="AI12" s="7"/>
      <c r="AJ12" s="5"/>
      <c r="AK12" s="5"/>
      <c r="AL12" s="5"/>
      <c r="AM12" s="5"/>
      <c r="AN12" s="5"/>
      <c r="AO12" s="103"/>
      <c r="AP12" s="15"/>
      <c r="AQ12" s="15"/>
      <c r="AR12" s="15"/>
      <c r="AS12" s="15"/>
      <c r="AT12" s="15"/>
      <c r="AU12" s="15"/>
      <c r="AV12" s="15"/>
      <c r="AW12" s="15"/>
      <c r="AX12" s="15"/>
      <c r="AY12" s="15"/>
      <c r="AZ12" s="15"/>
      <c r="BA12" s="15"/>
      <c r="BB12" s="15"/>
      <c r="BC12" s="15"/>
      <c r="BD12" s="15"/>
      <c r="BE12" s="15"/>
      <c r="BF12" s="15"/>
      <c r="BG12" s="15"/>
      <c r="BH12" s="15"/>
      <c r="BI12" s="15"/>
      <c r="BJ12" s="15"/>
      <c r="BK12" s="15"/>
    </row>
    <row r="13" spans="1:63" s="15" customFormat="1" x14ac:dyDescent="0.25">
      <c r="A13" s="15" t="s">
        <v>72</v>
      </c>
      <c r="B13" s="97">
        <f>B5</f>
        <v>3293.0059999999999</v>
      </c>
      <c r="C13" s="2">
        <f>C5*4</f>
        <v>3902.136</v>
      </c>
      <c r="D13" s="2">
        <f>D5/3*4</f>
        <v>3089.9626666666668</v>
      </c>
      <c r="E13" s="2">
        <f>E5*4</f>
        <v>3236</v>
      </c>
      <c r="F13" s="2">
        <f>F5/2*4</f>
        <v>3016.944</v>
      </c>
      <c r="G13" s="2">
        <f>G5*4</f>
        <v>3099.2</v>
      </c>
      <c r="H13" s="2">
        <f>H5*4</f>
        <v>2934.6880000000001</v>
      </c>
      <c r="I13" s="2">
        <f>I5*4</f>
        <v>2934.6880000000001</v>
      </c>
      <c r="J13" s="97">
        <f>J5</f>
        <v>3089.3910000000001</v>
      </c>
      <c r="K13" s="2">
        <f>K5*4</f>
        <v>3485.1239999999998</v>
      </c>
      <c r="L13" s="2">
        <f>L5/3*4</f>
        <v>2957.48</v>
      </c>
      <c r="M13" s="2">
        <f>M5*4</f>
        <v>2863.4279999999999</v>
      </c>
      <c r="N13" s="2">
        <f>N5/2*4</f>
        <v>3004.5059999999999</v>
      </c>
      <c r="O13" s="2">
        <f>O5*4</f>
        <v>3207.7559999999999</v>
      </c>
      <c r="P13" s="2">
        <f>P5*4</f>
        <v>2801.2559999999999</v>
      </c>
      <c r="Q13" s="2">
        <f>Q5*4</f>
        <v>2801.2559999999999</v>
      </c>
      <c r="R13" s="97">
        <f>R5</f>
        <v>1502.3920000000001</v>
      </c>
      <c r="S13" s="2">
        <f>S5*4</f>
        <v>2348</v>
      </c>
      <c r="T13" s="2">
        <f>T5/3*4</f>
        <v>1220.5226666666667</v>
      </c>
      <c r="U13" s="2">
        <f>U5*4</f>
        <v>1948</v>
      </c>
      <c r="V13" s="2">
        <f>V5/2*4</f>
        <v>856.78399999999999</v>
      </c>
      <c r="W13" s="2">
        <f>W5*4</f>
        <v>927.95600000000002</v>
      </c>
      <c r="X13" s="2">
        <f>X5*4</f>
        <v>785.61200000000008</v>
      </c>
      <c r="Y13" s="2">
        <f>Y5*4</f>
        <v>785.61200000000008</v>
      </c>
      <c r="Z13" s="97">
        <f>Z5</f>
        <v>3084</v>
      </c>
      <c r="AA13" s="2">
        <f>AA5*4</f>
        <v>1880</v>
      </c>
      <c r="AB13" s="2">
        <f>AB5/3*4</f>
        <v>3485.3333333333335</v>
      </c>
      <c r="AC13" s="2">
        <f>AC5*4</f>
        <v>2324</v>
      </c>
      <c r="AD13" s="2">
        <f>AD5/2*4</f>
        <v>4066</v>
      </c>
      <c r="AE13" s="2">
        <f>AE5*4</f>
        <v>3564</v>
      </c>
      <c r="AF13" s="2">
        <f>AF5*4</f>
        <v>4568</v>
      </c>
      <c r="AG13" s="98">
        <f>AG5*4</f>
        <v>4568</v>
      </c>
      <c r="AH13" s="97">
        <v>2291.1477119700057</v>
      </c>
      <c r="AI13" s="2">
        <v>2105.1147674400599</v>
      </c>
      <c r="AJ13" s="2">
        <v>2353.1586934799875</v>
      </c>
      <c r="AK13" s="2">
        <v>2530.8898529599651</v>
      </c>
      <c r="AL13" s="2">
        <v>2264.2931137399987</v>
      </c>
      <c r="AM13" s="2">
        <v>2462.6903958799985</v>
      </c>
      <c r="AN13" s="2">
        <v>2065.895831599998</v>
      </c>
      <c r="AO13" s="98">
        <v>2065.895831599998</v>
      </c>
    </row>
    <row r="14" spans="1:63" x14ac:dyDescent="0.25">
      <c r="A14" s="19" t="s">
        <v>73</v>
      </c>
      <c r="B14" s="104">
        <f t="shared" ref="B14:C14" si="26">B11</f>
        <v>26085.599999999999</v>
      </c>
      <c r="C14" s="3">
        <f t="shared" si="26"/>
        <v>26746</v>
      </c>
      <c r="D14" s="32">
        <f t="shared" ref="D14:E14" si="27">D11</f>
        <v>25809.75</v>
      </c>
      <c r="E14" s="32">
        <f t="shared" si="27"/>
        <v>25872</v>
      </c>
      <c r="F14" s="32">
        <f t="shared" ref="F14:G14" si="28">F11</f>
        <v>25645.333333333332</v>
      </c>
      <c r="G14" s="32">
        <f t="shared" si="28"/>
        <v>25803.5</v>
      </c>
      <c r="H14" s="3">
        <f>H11</f>
        <v>25747.5</v>
      </c>
      <c r="I14" s="3">
        <f>I11</f>
        <v>25747.5</v>
      </c>
      <c r="J14" s="104">
        <f>J11</f>
        <v>24550.6</v>
      </c>
      <c r="K14" s="3">
        <f t="shared" ref="K14" si="29">K11</f>
        <v>24915</v>
      </c>
      <c r="L14" s="32">
        <f t="shared" ref="L14:M14" si="30">L11</f>
        <v>24356</v>
      </c>
      <c r="M14" s="32">
        <f t="shared" si="30"/>
        <v>24535</v>
      </c>
      <c r="N14" s="32">
        <f t="shared" ref="N14:O14" si="31">N11</f>
        <v>24307.666666666668</v>
      </c>
      <c r="O14" s="32">
        <f t="shared" si="31"/>
        <v>24190</v>
      </c>
      <c r="P14" s="3">
        <f t="shared" ref="P14:Q14" si="32">P11</f>
        <v>24177</v>
      </c>
      <c r="Q14" s="3">
        <f t="shared" si="32"/>
        <v>24177</v>
      </c>
      <c r="R14" s="104">
        <f t="shared" ref="R14:S14" si="33">R11</f>
        <v>23590.400000000001</v>
      </c>
      <c r="S14" s="3">
        <f t="shared" si="33"/>
        <v>24228.5</v>
      </c>
      <c r="T14" s="32">
        <f t="shared" ref="T14:U14" si="34">T11</f>
        <v>23352.25</v>
      </c>
      <c r="U14" s="32">
        <f t="shared" si="34"/>
        <v>23633.5</v>
      </c>
      <c r="V14" s="32">
        <f t="shared" ref="V14:W14" si="35">V11</f>
        <v>23165</v>
      </c>
      <c r="W14" s="32">
        <f t="shared" si="35"/>
        <v>23255.5</v>
      </c>
      <c r="X14" s="3">
        <f t="shared" ref="X14:AG14" si="36">X11</f>
        <v>23071</v>
      </c>
      <c r="Y14" s="3">
        <f t="shared" si="36"/>
        <v>23071</v>
      </c>
      <c r="Z14" s="104">
        <f t="shared" si="36"/>
        <v>22074.332607797998</v>
      </c>
      <c r="AA14" s="3">
        <f t="shared" si="36"/>
        <v>22689.5</v>
      </c>
      <c r="AB14" s="32">
        <f t="shared" si="36"/>
        <v>21846.915759747499</v>
      </c>
      <c r="AC14" s="32">
        <f t="shared" si="36"/>
        <v>22119.5</v>
      </c>
      <c r="AD14" s="32">
        <f t="shared" si="36"/>
        <v>21664.221012996666</v>
      </c>
      <c r="AE14" s="32">
        <f t="shared" si="36"/>
        <v>21979</v>
      </c>
      <c r="AF14" s="3">
        <f t="shared" si="36"/>
        <v>21574.331519494997</v>
      </c>
      <c r="AG14" s="105">
        <f t="shared" si="36"/>
        <v>21574.331519494997</v>
      </c>
      <c r="AH14" s="104">
        <v>20247.928906977981</v>
      </c>
      <c r="AI14" s="3">
        <v>20746.356195860048</v>
      </c>
      <c r="AJ14" s="32">
        <v>20051.245373974973</v>
      </c>
      <c r="AK14" s="32">
        <v>20107.973822450098</v>
      </c>
      <c r="AL14" s="32">
        <v>19915.644047723268</v>
      </c>
      <c r="AM14" s="32">
        <v>20003.975615195101</v>
      </c>
      <c r="AN14" s="3">
        <v>19994.516925499847</v>
      </c>
      <c r="AO14" s="105">
        <v>19994.516925499847</v>
      </c>
      <c r="AP14" s="15"/>
      <c r="AQ14" s="15"/>
      <c r="AR14" s="15"/>
      <c r="AS14" s="15"/>
      <c r="AT14" s="15"/>
      <c r="AU14" s="15"/>
      <c r="AV14" s="15"/>
      <c r="AW14" s="15"/>
      <c r="AX14" s="15"/>
      <c r="AY14" s="15"/>
      <c r="AZ14" s="15"/>
      <c r="BA14" s="15"/>
      <c r="BB14" s="15"/>
      <c r="BC14" s="15"/>
      <c r="BD14" s="15"/>
      <c r="BE14" s="15"/>
      <c r="BF14" s="15"/>
      <c r="BG14" s="15"/>
      <c r="BH14" s="15"/>
      <c r="BI14" s="15"/>
      <c r="BJ14" s="15"/>
      <c r="BK14" s="15"/>
    </row>
    <row r="15" spans="1:63" ht="15.75" thickBot="1" x14ac:dyDescent="0.3">
      <c r="A15" s="42" t="s">
        <v>74</v>
      </c>
      <c r="B15" s="107">
        <f t="shared" ref="B15:C15" si="37">B13/B14</f>
        <v>0.12623846106664213</v>
      </c>
      <c r="C15" s="39">
        <f t="shared" si="37"/>
        <v>0.14589605922380916</v>
      </c>
      <c r="D15" s="38">
        <f t="shared" ref="D15:E15" si="38">D13/D14</f>
        <v>0.11972075152477908</v>
      </c>
      <c r="E15" s="38">
        <f t="shared" si="38"/>
        <v>0.12507730364873221</v>
      </c>
      <c r="F15" s="38">
        <f t="shared" ref="F15" si="39">F13/F14</f>
        <v>0.11764105230321306</v>
      </c>
      <c r="G15" s="38">
        <f>G13/G14-0.0002</f>
        <v>0.11990773732245624</v>
      </c>
      <c r="H15" s="39">
        <f t="shared" ref="H15" si="40">H13/H14</f>
        <v>0.11397953199339741</v>
      </c>
      <c r="I15" s="39">
        <f>I13/I14</f>
        <v>0.11397953199339741</v>
      </c>
      <c r="J15" s="107">
        <f>J13/J14</f>
        <v>0.12583769846765458</v>
      </c>
      <c r="K15" s="39">
        <f t="shared" ref="K15" si="41">K13/K14</f>
        <v>0.13988055388320289</v>
      </c>
      <c r="L15" s="38">
        <f t="shared" ref="L15:M15" si="42">L13/L14</f>
        <v>0.12142716373788799</v>
      </c>
      <c r="M15" s="38">
        <f t="shared" si="42"/>
        <v>0.11670788669248013</v>
      </c>
      <c r="N15" s="38">
        <f t="shared" ref="N15" si="43">N13/N14</f>
        <v>0.12360322531985792</v>
      </c>
      <c r="O15" s="38">
        <f>O13/O14-0.0002</f>
        <v>0.13240669698222404</v>
      </c>
      <c r="P15" s="39">
        <f t="shared" ref="P15" si="44">P13/P14</f>
        <v>0.11586449931753319</v>
      </c>
      <c r="Q15" s="39">
        <f>Q13/Q14</f>
        <v>0.11586449931753319</v>
      </c>
      <c r="R15" s="107">
        <f t="shared" ref="R15:S15" si="45">R13/R14</f>
        <v>6.3686584373304392E-2</v>
      </c>
      <c r="S15" s="39">
        <f t="shared" si="45"/>
        <v>9.6910663062096294E-2</v>
      </c>
      <c r="T15" s="38">
        <f t="shared" ref="T15:U15" si="46">T13/T14</f>
        <v>5.2265741702262808E-2</v>
      </c>
      <c r="U15" s="38">
        <f t="shared" si="46"/>
        <v>8.2425370766073577E-2</v>
      </c>
      <c r="V15" s="38">
        <f t="shared" ref="V15:W15" si="47">V13/V14</f>
        <v>3.6986142887977552E-2</v>
      </c>
      <c r="W15" s="38">
        <f t="shared" si="47"/>
        <v>3.9902646685730257E-2</v>
      </c>
      <c r="X15" s="39">
        <f t="shared" ref="X15" si="48">X13/X14</f>
        <v>3.4051926661176374E-2</v>
      </c>
      <c r="Y15" s="39">
        <f>Y13/Y14</f>
        <v>3.4051926661176374E-2</v>
      </c>
      <c r="Z15" s="107">
        <f t="shared" ref="Z15:AA15" si="49">Z13/Z14</f>
        <v>0.13970977310138669</v>
      </c>
      <c r="AA15" s="39">
        <f t="shared" si="49"/>
        <v>8.2857709513210961E-2</v>
      </c>
      <c r="AB15" s="38">
        <f t="shared" ref="AB15:AC15" si="50">AB13/AB14</f>
        <v>0.15953434213148704</v>
      </c>
      <c r="AC15" s="38">
        <f t="shared" si="50"/>
        <v>0.1050656660412758</v>
      </c>
      <c r="AD15" s="38">
        <f t="shared" ref="AD15:AE15" si="51">AD13/AD14</f>
        <v>0.1876827233972895</v>
      </c>
      <c r="AE15" s="38">
        <f t="shared" si="51"/>
        <v>0.16215478411210701</v>
      </c>
      <c r="AF15" s="39">
        <f t="shared" ref="AF15" si="52">AF13/AF14</f>
        <v>0.21173309568698637</v>
      </c>
      <c r="AG15" s="108">
        <f>AG13/AG14</f>
        <v>0.21173309568698637</v>
      </c>
      <c r="AH15" s="107">
        <v>0.11315466991690269</v>
      </c>
      <c r="AI15" s="39">
        <v>0.1014691325824309</v>
      </c>
      <c r="AJ15" s="38">
        <v>0.11735723390698778</v>
      </c>
      <c r="AK15" s="38">
        <v>0.12586498646294655</v>
      </c>
      <c r="AL15" s="38">
        <v>0.11369419479049435</v>
      </c>
      <c r="AM15" s="38">
        <v>0.12311004788514784</v>
      </c>
      <c r="AN15" s="39">
        <v>0.10332311799767836</v>
      </c>
      <c r="AO15" s="108">
        <v>0.10332311799767836</v>
      </c>
      <c r="AP15" s="68"/>
      <c r="AQ15" s="15"/>
      <c r="AR15" s="15"/>
      <c r="AS15" s="15"/>
      <c r="AT15" s="15"/>
      <c r="AU15" s="15"/>
      <c r="AV15" s="15"/>
      <c r="AW15" s="15"/>
      <c r="AX15" s="15"/>
      <c r="AY15" s="15"/>
      <c r="AZ15" s="15"/>
      <c r="BA15" s="15"/>
      <c r="BB15" s="15"/>
      <c r="BC15" s="15"/>
      <c r="BD15" s="15"/>
      <c r="BE15" s="15"/>
      <c r="BF15" s="15"/>
      <c r="BG15" s="15"/>
      <c r="BH15" s="15"/>
      <c r="BI15" s="15"/>
      <c r="BJ15" s="15"/>
      <c r="BK15" s="15"/>
    </row>
    <row r="16" spans="1:63" x14ac:dyDescent="0.25">
      <c r="A16" s="41"/>
      <c r="B16" s="189"/>
      <c r="C16" s="41"/>
      <c r="D16" s="178"/>
      <c r="E16" s="178"/>
      <c r="F16" s="178"/>
      <c r="G16" s="178"/>
      <c r="H16" s="178"/>
      <c r="I16" s="178"/>
      <c r="J16" s="189"/>
      <c r="K16" s="41"/>
      <c r="L16" s="180"/>
      <c r="M16" s="41"/>
      <c r="N16" s="178"/>
      <c r="O16" s="178"/>
      <c r="P16" s="178"/>
      <c r="Q16" s="178"/>
      <c r="R16" s="189"/>
      <c r="S16" s="41"/>
      <c r="T16" s="180"/>
      <c r="U16" s="41"/>
      <c r="V16" s="180"/>
      <c r="W16" s="41"/>
      <c r="X16" s="178"/>
      <c r="Y16" s="178"/>
      <c r="Z16" s="189"/>
      <c r="AA16" s="41"/>
      <c r="AB16" s="180"/>
      <c r="AC16" s="41"/>
      <c r="AD16" s="180"/>
      <c r="AE16" s="41"/>
      <c r="AF16" s="178"/>
      <c r="AG16" s="178"/>
      <c r="AH16" s="179"/>
      <c r="AI16" s="178"/>
      <c r="AJ16" s="180"/>
      <c r="AK16" s="180"/>
      <c r="AL16" s="180"/>
      <c r="AM16" s="180"/>
      <c r="AN16" s="178"/>
      <c r="AO16" s="181"/>
      <c r="AP16" s="68"/>
      <c r="AQ16" s="15"/>
      <c r="AR16" s="15"/>
      <c r="AS16" s="15"/>
      <c r="AT16" s="15"/>
      <c r="AU16" s="15"/>
      <c r="AV16" s="15"/>
      <c r="AW16" s="15"/>
      <c r="AX16" s="15"/>
      <c r="AY16" s="15"/>
      <c r="AZ16" s="15"/>
      <c r="BA16" s="15"/>
      <c r="BB16" s="15"/>
      <c r="BC16" s="15"/>
      <c r="BD16" s="15"/>
      <c r="BE16" s="15"/>
      <c r="BF16" s="15"/>
      <c r="BG16" s="15"/>
      <c r="BH16" s="15"/>
      <c r="BI16" s="15"/>
      <c r="BJ16" s="15"/>
      <c r="BK16" s="15"/>
    </row>
    <row r="17" spans="1:63" x14ac:dyDescent="0.25">
      <c r="A17" t="s">
        <v>75</v>
      </c>
      <c r="B17" s="110">
        <f>I17+G17+E17+C17</f>
        <v>2824.6019465999998</v>
      </c>
      <c r="C17" s="70">
        <f>751601946.6/1000000</f>
        <v>751.60194660000002</v>
      </c>
      <c r="D17" s="70">
        <f>E17+G17+I17</f>
        <v>2073</v>
      </c>
      <c r="E17" s="70">
        <v>676</v>
      </c>
      <c r="F17" s="70">
        <f>I17+G17</f>
        <v>1397</v>
      </c>
      <c r="G17" s="70">
        <v>702</v>
      </c>
      <c r="H17" s="70">
        <f>I17</f>
        <v>695</v>
      </c>
      <c r="I17" s="2">
        <v>695</v>
      </c>
      <c r="J17" s="110">
        <f>Q17+O17+M17+K17</f>
        <v>2714</v>
      </c>
      <c r="K17">
        <v>755</v>
      </c>
      <c r="L17" s="2">
        <f>M17+O17+Q17</f>
        <v>1959</v>
      </c>
      <c r="M17" s="12">
        <v>666</v>
      </c>
      <c r="N17" s="70">
        <f>Q17+O17</f>
        <v>1293</v>
      </c>
      <c r="O17" s="70">
        <v>681</v>
      </c>
      <c r="P17" s="70">
        <f>Q17</f>
        <v>612</v>
      </c>
      <c r="Q17" s="2">
        <v>612</v>
      </c>
      <c r="R17" s="110">
        <f>Y17+W17+U17+S17</f>
        <v>2386</v>
      </c>
      <c r="S17">
        <v>629</v>
      </c>
      <c r="T17" s="2">
        <f>U17+W17+Y17</f>
        <v>1757</v>
      </c>
      <c r="U17" s="12">
        <v>595</v>
      </c>
      <c r="V17" s="2">
        <f>W17+Y17</f>
        <v>1162</v>
      </c>
      <c r="W17" s="2">
        <v>570</v>
      </c>
      <c r="X17" s="70">
        <f>Y17</f>
        <v>592</v>
      </c>
      <c r="Y17" s="2">
        <v>592</v>
      </c>
      <c r="Z17" s="110">
        <f>AG17+AE17+AC17+AA17</f>
        <v>2478</v>
      </c>
      <c r="AA17">
        <v>678</v>
      </c>
      <c r="AB17" s="2">
        <f>AC17+AE17+AG17</f>
        <v>1800</v>
      </c>
      <c r="AC17">
        <v>615</v>
      </c>
      <c r="AD17" s="2">
        <f>AE17+AG17</f>
        <v>1185</v>
      </c>
      <c r="AE17" s="2">
        <v>602</v>
      </c>
      <c r="AF17" s="70">
        <f>AG17</f>
        <v>583</v>
      </c>
      <c r="AG17" s="2">
        <v>583</v>
      </c>
      <c r="AH17" s="110">
        <v>2229.4154961199997</v>
      </c>
      <c r="AI17" s="2">
        <v>575.99125096</v>
      </c>
      <c r="AJ17" s="2">
        <v>1653.4242451599998</v>
      </c>
      <c r="AK17" s="2">
        <v>542.60172895999995</v>
      </c>
      <c r="AL17" s="2">
        <v>1110.8225161999999</v>
      </c>
      <c r="AM17" s="2">
        <v>571.92680112999994</v>
      </c>
      <c r="AN17" s="2">
        <v>538.89571507000005</v>
      </c>
      <c r="AO17" s="98">
        <v>538.89571507000005</v>
      </c>
      <c r="AP17" s="15"/>
      <c r="AQ17" s="15"/>
      <c r="AR17" s="15"/>
      <c r="AS17" s="15"/>
      <c r="AT17" s="15"/>
      <c r="AU17" s="15"/>
      <c r="AV17" s="15"/>
      <c r="AW17" s="15"/>
      <c r="AX17" s="15"/>
      <c r="AY17" s="15"/>
      <c r="AZ17" s="15"/>
      <c r="BA17" s="15"/>
      <c r="BB17" s="15"/>
      <c r="BC17" s="15"/>
      <c r="BD17" s="15"/>
      <c r="BE17" s="15"/>
      <c r="BF17" s="15"/>
      <c r="BG17" s="15"/>
      <c r="BH17" s="15"/>
      <c r="BI17" s="15"/>
      <c r="BJ17" s="15"/>
      <c r="BK17" s="15"/>
    </row>
    <row r="18" spans="1:63" x14ac:dyDescent="0.25">
      <c r="A18" s="34" t="s">
        <v>76</v>
      </c>
      <c r="B18" s="111">
        <f>I18+G18+E18+C18+1</f>
        <v>7042.3820578300401</v>
      </c>
      <c r="C18" s="3">
        <f>2013382057.83004/1000000</f>
        <v>2013.3820578300399</v>
      </c>
      <c r="D18" s="86">
        <f>E18+G18+I18</f>
        <v>5028</v>
      </c>
      <c r="E18" s="86">
        <v>1726</v>
      </c>
      <c r="F18" s="86">
        <f>I18+G18</f>
        <v>3302</v>
      </c>
      <c r="G18" s="86">
        <v>1671</v>
      </c>
      <c r="H18" s="86">
        <f>I18</f>
        <v>1631</v>
      </c>
      <c r="I18" s="3">
        <v>1631</v>
      </c>
      <c r="J18" s="111">
        <f>Q18+O18+M18+K18</f>
        <v>6744</v>
      </c>
      <c r="K18" s="3">
        <v>1804</v>
      </c>
      <c r="L18" s="3">
        <f>M18+O18+Q18</f>
        <v>4940</v>
      </c>
      <c r="M18" s="3">
        <v>1629</v>
      </c>
      <c r="N18" s="86">
        <f>Q18+O18</f>
        <v>3311</v>
      </c>
      <c r="O18" s="86">
        <v>1698</v>
      </c>
      <c r="P18" s="86">
        <f>Q18</f>
        <v>1613</v>
      </c>
      <c r="Q18" s="3">
        <v>1613</v>
      </c>
      <c r="R18" s="111">
        <f>Y18+W18+U18+S18</f>
        <v>6237</v>
      </c>
      <c r="S18" s="3">
        <v>1604</v>
      </c>
      <c r="T18" s="3">
        <f>U18+W18+Y18</f>
        <v>4633</v>
      </c>
      <c r="U18" s="3">
        <v>1567</v>
      </c>
      <c r="V18" s="3">
        <f>W18+Y18</f>
        <v>3066</v>
      </c>
      <c r="W18" s="3">
        <v>1667</v>
      </c>
      <c r="X18" s="86">
        <f>Y18</f>
        <v>1399</v>
      </c>
      <c r="Y18" s="3">
        <v>1399</v>
      </c>
      <c r="Z18" s="111">
        <f>AG18+AE18+AC18+AA18</f>
        <v>6530</v>
      </c>
      <c r="AA18" s="3">
        <v>1443</v>
      </c>
      <c r="AB18" s="3">
        <f>AC18+AE18+AG18</f>
        <v>5087</v>
      </c>
      <c r="AC18" s="3">
        <v>1440</v>
      </c>
      <c r="AD18" s="3">
        <f>AE18+AG18</f>
        <v>3647</v>
      </c>
      <c r="AE18" s="3">
        <v>1692</v>
      </c>
      <c r="AF18" s="86">
        <f>AG18</f>
        <v>1955</v>
      </c>
      <c r="AG18" s="3">
        <v>1955</v>
      </c>
      <c r="AH18" s="111">
        <v>5445.0939397799593</v>
      </c>
      <c r="AI18" s="3">
        <v>1344.04428511997</v>
      </c>
      <c r="AJ18" s="3">
        <v>4101.0496546599898</v>
      </c>
      <c r="AK18" s="3">
        <v>1395.36743137999</v>
      </c>
      <c r="AL18" s="3">
        <v>2705.6822232799996</v>
      </c>
      <c r="AM18" s="3">
        <v>1424.6105378499999</v>
      </c>
      <c r="AN18" s="3">
        <v>1281.0716854299999</v>
      </c>
      <c r="AO18" s="105">
        <v>1281.0716854299999</v>
      </c>
      <c r="AP18" s="15"/>
      <c r="AQ18" s="15"/>
      <c r="AR18" s="15"/>
      <c r="AS18" s="15"/>
      <c r="AT18" s="15"/>
      <c r="AU18" s="15"/>
      <c r="AV18" s="15"/>
      <c r="AW18" s="15"/>
      <c r="AX18" s="15"/>
      <c r="AY18" s="15"/>
      <c r="AZ18" s="15"/>
      <c r="BA18" s="15"/>
      <c r="BB18" s="15"/>
      <c r="BC18" s="15"/>
      <c r="BD18" s="15"/>
      <c r="BE18" s="15"/>
      <c r="BF18" s="15"/>
      <c r="BG18" s="15"/>
      <c r="BH18" s="15"/>
      <c r="BI18" s="15"/>
      <c r="BJ18" s="15"/>
      <c r="BK18" s="15"/>
    </row>
    <row r="19" spans="1:63" s="21" customFormat="1" ht="15.75" thickBot="1" x14ac:dyDescent="0.3">
      <c r="A19" s="40" t="s">
        <v>7</v>
      </c>
      <c r="B19" s="112">
        <f>B17/B18</f>
        <v>0.40108615570770961</v>
      </c>
      <c r="C19" s="87">
        <f>C17/C18</f>
        <v>0.3733031908559139</v>
      </c>
      <c r="D19" s="46">
        <f>D17/D18</f>
        <v>0.41229116945107397</v>
      </c>
      <c r="E19" s="46">
        <f t="shared" ref="E19" si="53">E17/E18</f>
        <v>0.39165701042873696</v>
      </c>
      <c r="F19" s="46">
        <f>F17/F18</f>
        <v>0.42307692307692307</v>
      </c>
      <c r="G19" s="46">
        <f t="shared" ref="G19" si="54">G17/G18</f>
        <v>0.42010771992818674</v>
      </c>
      <c r="H19" s="46">
        <f>H17/H18</f>
        <v>0.42611894543225015</v>
      </c>
      <c r="I19" s="46">
        <f t="shared" ref="I19" si="55">I17/I18</f>
        <v>0.42611894543225015</v>
      </c>
      <c r="J19" s="112">
        <f>J17/J18</f>
        <v>0.40243179122182682</v>
      </c>
      <c r="K19" s="87">
        <f t="shared" ref="K19" si="56">K17/K18</f>
        <v>0.41851441241685144</v>
      </c>
      <c r="L19" s="46">
        <f>L17/L18</f>
        <v>0.39655870445344127</v>
      </c>
      <c r="M19" s="46">
        <f t="shared" ref="M19" si="57">M17/M18</f>
        <v>0.40883977900552487</v>
      </c>
      <c r="N19" s="46">
        <f>N17/N18</f>
        <v>0.39051646028390213</v>
      </c>
      <c r="O19" s="46">
        <f t="shared" ref="O19" si="58">O17/O18</f>
        <v>0.40106007067137811</v>
      </c>
      <c r="P19" s="46">
        <f>P17/P18</f>
        <v>0.37941723496590207</v>
      </c>
      <c r="Q19" s="46">
        <f t="shared" ref="Q19" si="59">Q17/Q18</f>
        <v>0.37941723496590207</v>
      </c>
      <c r="R19" s="112">
        <f>R17/R18</f>
        <v>0.38255571588904924</v>
      </c>
      <c r="S19" s="87">
        <f t="shared" ref="S19" si="60">S17/S18</f>
        <v>0.39214463840399</v>
      </c>
      <c r="T19" s="46">
        <f>T17/T18</f>
        <v>0.37923591625296782</v>
      </c>
      <c r="U19" s="46">
        <f t="shared" ref="U19" si="61">U17/U18</f>
        <v>0.37970644543714105</v>
      </c>
      <c r="V19" s="46">
        <f>V17/V18</f>
        <v>0.37899543378995432</v>
      </c>
      <c r="W19" s="46">
        <f t="shared" ref="W19" si="62">W17/W18</f>
        <v>0.34193161367726455</v>
      </c>
      <c r="X19" s="46">
        <f>X17/X18</f>
        <v>0.42315939957112225</v>
      </c>
      <c r="Y19" s="46">
        <f t="shared" ref="Y19" si="63">Y17/Y18</f>
        <v>0.42315939957112225</v>
      </c>
      <c r="Z19" s="112">
        <f>Z17/Z18</f>
        <v>0.37947932618683</v>
      </c>
      <c r="AA19" s="87">
        <f t="shared" ref="AA19" si="64">AA17/AA18</f>
        <v>0.46985446985446988</v>
      </c>
      <c r="AB19" s="46">
        <f>AB17/AB18</f>
        <v>0.3538431295459013</v>
      </c>
      <c r="AC19" s="46">
        <f t="shared" ref="AC19:AE19" si="65">AC17/AC18</f>
        <v>0.42708333333333331</v>
      </c>
      <c r="AD19" s="46">
        <f>AD17/AD18</f>
        <v>0.32492459555799286</v>
      </c>
      <c r="AE19" s="46">
        <f t="shared" si="65"/>
        <v>0.35579196217494091</v>
      </c>
      <c r="AF19" s="46">
        <f>AF17/AF18</f>
        <v>0.29820971867007673</v>
      </c>
      <c r="AG19" s="113">
        <f t="shared" ref="AG19" si="66">AG17/AG18</f>
        <v>0.29820971867007673</v>
      </c>
      <c r="AH19" s="112">
        <v>0.40943563522984733</v>
      </c>
      <c r="AI19" s="87">
        <v>0.4285507980182266</v>
      </c>
      <c r="AJ19" s="46">
        <v>0.40317098898844766</v>
      </c>
      <c r="AK19" s="46">
        <v>0.38885939055018498</v>
      </c>
      <c r="AL19" s="46">
        <v>0.41055172948336499</v>
      </c>
      <c r="AM19" s="46">
        <v>0.40146186338979561</v>
      </c>
      <c r="AN19" s="46">
        <v>0.42066007796364357</v>
      </c>
      <c r="AO19" s="113">
        <v>0.42066007796364357</v>
      </c>
      <c r="AP19" s="41"/>
      <c r="AQ19" s="41"/>
      <c r="AR19" s="41"/>
      <c r="AS19" s="41"/>
      <c r="AT19" s="41"/>
      <c r="AU19" s="41"/>
      <c r="AV19" s="41"/>
      <c r="AW19" s="41"/>
      <c r="AX19" s="41"/>
      <c r="AY19" s="41"/>
      <c r="AZ19" s="41"/>
      <c r="BA19" s="41"/>
      <c r="BB19" s="41"/>
      <c r="BC19" s="41"/>
      <c r="BD19" s="41"/>
      <c r="BE19" s="41"/>
      <c r="BF19" s="41"/>
      <c r="BG19" s="41"/>
      <c r="BH19" s="41"/>
      <c r="BI19" s="41"/>
      <c r="BJ19" s="41"/>
      <c r="BK19" s="41"/>
    </row>
    <row r="20" spans="1:63" x14ac:dyDescent="0.25">
      <c r="B20" s="167"/>
      <c r="H20" s="15"/>
      <c r="I20" s="15"/>
      <c r="J20" s="167"/>
      <c r="L20" s="6"/>
      <c r="R20" s="167"/>
      <c r="T20" s="6"/>
      <c r="V20" s="6"/>
      <c r="Z20" s="167"/>
      <c r="AB20" s="6"/>
      <c r="AD20" s="6"/>
      <c r="AH20" s="95"/>
      <c r="AJ20" s="6"/>
      <c r="AK20" s="6"/>
      <c r="AL20" s="6"/>
      <c r="AM20" s="6"/>
      <c r="AN20" s="6"/>
      <c r="AO20" s="109"/>
      <c r="AP20" s="15"/>
      <c r="AQ20" s="15"/>
      <c r="AR20" s="15"/>
      <c r="AS20" s="15"/>
      <c r="AT20" s="15"/>
      <c r="AU20" s="15"/>
      <c r="AV20" s="15"/>
      <c r="AW20" s="15"/>
      <c r="AX20" s="15"/>
      <c r="AY20" s="15"/>
      <c r="AZ20" s="15"/>
      <c r="BA20" s="15"/>
      <c r="BB20" s="15"/>
      <c r="BC20" s="15"/>
      <c r="BD20" s="15"/>
      <c r="BE20" s="15"/>
      <c r="BF20" s="15"/>
      <c r="BG20" s="15"/>
      <c r="BH20" s="15"/>
      <c r="BI20" s="15"/>
      <c r="BJ20" s="15"/>
      <c r="BK20" s="15"/>
    </row>
    <row r="21" spans="1:63" x14ac:dyDescent="0.25">
      <c r="A21" t="s">
        <v>75</v>
      </c>
      <c r="B21" s="110">
        <f>I21+G21+E21+C21</f>
        <v>2067.6609130000002</v>
      </c>
      <c r="C21" s="70">
        <v>561.428</v>
      </c>
      <c r="D21" s="70">
        <f>E21+G21+I21</f>
        <v>1506.2329130000001</v>
      </c>
      <c r="E21" s="70">
        <v>502.054191</v>
      </c>
      <c r="F21" s="70">
        <f>I21+G21</f>
        <v>1004.178722</v>
      </c>
      <c r="G21" s="70">
        <v>508.89213100000001</v>
      </c>
      <c r="H21" s="70">
        <f>I21</f>
        <v>495.28659099999999</v>
      </c>
      <c r="I21" s="2">
        <v>495.28659099999999</v>
      </c>
      <c r="J21" s="110">
        <f>Q21+O21+M21+K21</f>
        <v>1962.896315</v>
      </c>
      <c r="K21" s="12">
        <v>560.88283999999999</v>
      </c>
      <c r="L21" s="2">
        <f>M21+O21+Q21</f>
        <v>1402.013475</v>
      </c>
      <c r="M21" s="12">
        <v>483.15267399999999</v>
      </c>
      <c r="N21" s="70">
        <f>Q21+O21</f>
        <v>918.86080100000004</v>
      </c>
      <c r="O21" s="70">
        <v>470.11164300000002</v>
      </c>
      <c r="P21" s="70">
        <f>Q21</f>
        <v>448.74915800000002</v>
      </c>
      <c r="Q21" s="2">
        <v>448.74915800000002</v>
      </c>
      <c r="R21" s="167"/>
      <c r="T21" s="6"/>
      <c r="V21" s="6"/>
      <c r="Z21" s="167"/>
      <c r="AB21" s="6"/>
      <c r="AD21" s="6"/>
      <c r="AH21" s="95"/>
      <c r="AJ21" s="6"/>
      <c r="AK21" s="6"/>
      <c r="AL21" s="6"/>
      <c r="AM21" s="6"/>
      <c r="AN21" s="6"/>
      <c r="AO21" s="109"/>
      <c r="AP21" s="15"/>
      <c r="AQ21" s="15"/>
      <c r="AR21" s="15"/>
      <c r="AS21" s="15"/>
      <c r="AT21" s="15"/>
      <c r="AU21" s="15"/>
      <c r="AV21" s="15"/>
      <c r="AW21" s="15"/>
      <c r="AX21" s="15"/>
      <c r="AY21" s="15"/>
      <c r="AZ21" s="15"/>
      <c r="BA21" s="15"/>
      <c r="BB21" s="15"/>
      <c r="BC21" s="15"/>
      <c r="BD21" s="15"/>
      <c r="BE21" s="15"/>
      <c r="BF21" s="15"/>
      <c r="BG21" s="15"/>
      <c r="BH21" s="15"/>
      <c r="BI21" s="15"/>
      <c r="BJ21" s="15"/>
      <c r="BK21" s="15"/>
    </row>
    <row r="22" spans="1:63" x14ac:dyDescent="0.25">
      <c r="A22" s="34" t="s">
        <v>151</v>
      </c>
      <c r="B22" s="111">
        <f>I22+G22+E22+C22</f>
        <v>5502.5660000000007</v>
      </c>
      <c r="C22" s="86">
        <v>1554.252</v>
      </c>
      <c r="D22" s="86">
        <f>E22+G22+I22</f>
        <v>3948.3139999999999</v>
      </c>
      <c r="E22" s="86">
        <v>1360.8579999999999</v>
      </c>
      <c r="F22" s="86">
        <f>I22+G22</f>
        <v>2587.4560000000001</v>
      </c>
      <c r="G22" s="86">
        <v>1341.3579999999999</v>
      </c>
      <c r="H22" s="86">
        <f>I22</f>
        <v>1246.098</v>
      </c>
      <c r="I22" s="3">
        <v>1246.098</v>
      </c>
      <c r="J22" s="111">
        <f>Q22+O22+M22+K22</f>
        <v>4872.0658100000001</v>
      </c>
      <c r="K22" s="3">
        <v>1254.1766580000001</v>
      </c>
      <c r="L22" s="3">
        <f>M22+O22+Q22</f>
        <v>3617.8891520000002</v>
      </c>
      <c r="M22" s="3">
        <v>1194.294938</v>
      </c>
      <c r="N22" s="86">
        <f>Q22+O22</f>
        <v>2423.5942139999997</v>
      </c>
      <c r="O22" s="86">
        <v>1205.2275139999999</v>
      </c>
      <c r="P22" s="86">
        <f>Q22</f>
        <v>1218.3667</v>
      </c>
      <c r="Q22" s="3">
        <v>1218.3667</v>
      </c>
      <c r="R22" s="167"/>
      <c r="T22" s="6"/>
      <c r="V22" s="6"/>
      <c r="Z22" s="167"/>
      <c r="AB22" s="6"/>
      <c r="AD22" s="6"/>
      <c r="AH22" s="95"/>
      <c r="AJ22" s="6"/>
      <c r="AK22" s="6"/>
      <c r="AL22" s="6"/>
      <c r="AM22" s="6"/>
      <c r="AN22" s="6"/>
      <c r="AO22" s="109"/>
      <c r="AP22" s="15"/>
      <c r="AQ22" s="15"/>
      <c r="AR22" s="15"/>
      <c r="AS22" s="15"/>
      <c r="AT22" s="15"/>
      <c r="AU22" s="15"/>
      <c r="AV22" s="15"/>
      <c r="AW22" s="15"/>
      <c r="AX22" s="15"/>
      <c r="AY22" s="15"/>
      <c r="AZ22" s="15"/>
      <c r="BA22" s="15"/>
      <c r="BB22" s="15"/>
      <c r="BC22" s="15"/>
      <c r="BD22" s="15"/>
      <c r="BE22" s="15"/>
      <c r="BF22" s="15"/>
      <c r="BG22" s="15"/>
      <c r="BH22" s="15"/>
      <c r="BI22" s="15"/>
      <c r="BJ22" s="15"/>
      <c r="BK22" s="15"/>
    </row>
    <row r="23" spans="1:63" ht="15.75" thickBot="1" x14ac:dyDescent="0.3">
      <c r="A23" s="40" t="s">
        <v>150</v>
      </c>
      <c r="B23" s="112">
        <f>B21/B22</f>
        <v>0.37576303728115207</v>
      </c>
      <c r="C23" s="112">
        <f>C21/C22</f>
        <v>0.36122070294907133</v>
      </c>
      <c r="D23" s="46">
        <f>D21/D22</f>
        <v>0.38148762053879204</v>
      </c>
      <c r="E23" s="46">
        <f t="shared" ref="E23" si="67">E21/E22</f>
        <v>0.36892474527099817</v>
      </c>
      <c r="F23" s="46">
        <f>F21/F22</f>
        <v>0.38809499446560636</v>
      </c>
      <c r="G23" s="46">
        <f t="shared" ref="G23" si="68">G21/G22</f>
        <v>0.37938576502320787</v>
      </c>
      <c r="H23" s="46">
        <f>H21/H22</f>
        <v>0.39747001519944658</v>
      </c>
      <c r="I23" s="46">
        <f t="shared" ref="I23" si="69">I21/I22</f>
        <v>0.39747001519944658</v>
      </c>
      <c r="J23" s="112">
        <f>J21/J22</f>
        <v>0.40288789017815013</v>
      </c>
      <c r="K23" s="87">
        <f t="shared" ref="K23" si="70">K21/K22</f>
        <v>0.44721199076884743</v>
      </c>
      <c r="L23" s="46">
        <f>L21/L22</f>
        <v>0.38752250721251502</v>
      </c>
      <c r="M23" s="46">
        <f t="shared" ref="M23" si="71">M21/M22</f>
        <v>0.40455054997478351</v>
      </c>
      <c r="N23" s="46">
        <f>N21/N22</f>
        <v>0.3791314551306319</v>
      </c>
      <c r="O23" s="46">
        <f t="shared" ref="O23" si="72">O21/O22</f>
        <v>0.39006049690963168</v>
      </c>
      <c r="P23" s="46">
        <f>P21/P22</f>
        <v>0.36832027500423314</v>
      </c>
      <c r="Q23" s="46">
        <f t="shared" ref="Q23" si="73">Q21/Q22</f>
        <v>0.36832027500423314</v>
      </c>
      <c r="R23" s="167"/>
      <c r="T23" s="6"/>
      <c r="V23" s="6"/>
      <c r="Z23" s="167"/>
      <c r="AB23" s="6"/>
      <c r="AD23" s="6"/>
      <c r="AH23" s="95"/>
      <c r="AJ23" s="6"/>
      <c r="AK23" s="6"/>
      <c r="AL23" s="6"/>
      <c r="AM23" s="6"/>
      <c r="AN23" s="6"/>
      <c r="AO23" s="109"/>
      <c r="AP23" s="15"/>
      <c r="AQ23" s="15"/>
      <c r="AR23" s="15"/>
      <c r="AS23" s="15"/>
      <c r="AT23" s="15"/>
      <c r="AU23" s="15"/>
      <c r="AV23" s="15"/>
      <c r="AW23" s="15"/>
      <c r="AX23" s="15"/>
      <c r="AY23" s="15"/>
      <c r="AZ23" s="15"/>
      <c r="BA23" s="15"/>
      <c r="BB23" s="15"/>
      <c r="BC23" s="15"/>
      <c r="BD23" s="15"/>
      <c r="BE23" s="15"/>
      <c r="BF23" s="15"/>
      <c r="BG23" s="15"/>
      <c r="BH23" s="15"/>
      <c r="BI23" s="15"/>
      <c r="BJ23" s="15"/>
      <c r="BK23" s="15"/>
    </row>
    <row r="24" spans="1:63" x14ac:dyDescent="0.25">
      <c r="B24" s="167"/>
      <c r="H24" s="15"/>
      <c r="I24" s="15"/>
      <c r="J24" s="167"/>
      <c r="L24" s="6"/>
      <c r="R24" s="167"/>
      <c r="T24" s="6"/>
      <c r="V24" s="6"/>
      <c r="Z24" s="167"/>
      <c r="AB24" s="6"/>
      <c r="AD24" s="6"/>
      <c r="AH24" s="95"/>
      <c r="AJ24" s="6"/>
      <c r="AK24" s="6"/>
      <c r="AL24" s="6"/>
      <c r="AM24" s="6"/>
      <c r="AN24" s="6"/>
      <c r="AO24" s="109"/>
      <c r="AP24" s="15"/>
      <c r="AQ24" s="15"/>
      <c r="AR24" s="15"/>
      <c r="AS24" s="15"/>
      <c r="AT24" s="15"/>
      <c r="AU24" s="15"/>
      <c r="AV24" s="15"/>
      <c r="AW24" s="15"/>
      <c r="AX24" s="15"/>
      <c r="AY24" s="15"/>
      <c r="AZ24" s="15"/>
      <c r="BA24" s="15"/>
      <c r="BB24" s="15"/>
      <c r="BC24" s="15"/>
      <c r="BD24" s="15"/>
      <c r="BE24" s="15"/>
      <c r="BF24" s="15"/>
      <c r="BG24" s="15"/>
      <c r="BH24" s="15"/>
      <c r="BI24" s="15"/>
      <c r="BJ24" s="15"/>
      <c r="BK24" s="15"/>
    </row>
    <row r="25" spans="1:63" ht="15" customHeight="1" x14ac:dyDescent="0.25">
      <c r="A25" s="47" t="s">
        <v>77</v>
      </c>
      <c r="B25" s="110">
        <f>I25+G25+E25+C25</f>
        <v>4516</v>
      </c>
      <c r="C25" s="48">
        <v>1286</v>
      </c>
      <c r="D25" s="70">
        <f>E25+G25+I25</f>
        <v>3230</v>
      </c>
      <c r="E25" s="70">
        <v>1115</v>
      </c>
      <c r="F25" s="70">
        <f>I25+G25</f>
        <v>2115</v>
      </c>
      <c r="G25" s="70">
        <v>1101</v>
      </c>
      <c r="H25" s="70">
        <f>+I25</f>
        <v>1014</v>
      </c>
      <c r="I25" s="48">
        <v>1014</v>
      </c>
      <c r="J25" s="110">
        <f>Q25+O25+M25+K25</f>
        <v>3990</v>
      </c>
      <c r="K25" s="48">
        <v>1005</v>
      </c>
      <c r="L25" s="48">
        <f>M25+O25+Q25</f>
        <v>2985</v>
      </c>
      <c r="M25" s="48">
        <v>989</v>
      </c>
      <c r="N25" s="70">
        <f>Q25+O25</f>
        <v>1996</v>
      </c>
      <c r="O25" s="70">
        <v>1001</v>
      </c>
      <c r="P25" s="70">
        <f>Q25</f>
        <v>995</v>
      </c>
      <c r="Q25" s="48">
        <v>995</v>
      </c>
      <c r="R25" s="110">
        <f>Y25+W25+U25+S25</f>
        <v>4149</v>
      </c>
      <c r="S25" s="48">
        <v>994</v>
      </c>
      <c r="T25" s="48">
        <f>U25+W25+Y25</f>
        <v>3155</v>
      </c>
      <c r="U25" s="48">
        <v>1041</v>
      </c>
      <c r="V25" s="48">
        <f>W25+Y25</f>
        <v>2114</v>
      </c>
      <c r="W25" s="70">
        <v>1026</v>
      </c>
      <c r="X25" s="70">
        <f>Y25</f>
        <v>1088</v>
      </c>
      <c r="Y25" s="48">
        <v>1088</v>
      </c>
      <c r="Z25" s="110">
        <f>AG25+AE25+AC25+AA25</f>
        <v>4004</v>
      </c>
      <c r="AA25" s="48">
        <v>1055</v>
      </c>
      <c r="AB25" s="48">
        <f>AC25+AE25+AG25</f>
        <v>2949</v>
      </c>
      <c r="AC25" s="48">
        <v>1026</v>
      </c>
      <c r="AD25" s="48">
        <f>AE25+AG25</f>
        <v>1923</v>
      </c>
      <c r="AE25" s="47">
        <v>977</v>
      </c>
      <c r="AF25" s="70">
        <f>AG25</f>
        <v>946</v>
      </c>
      <c r="AG25" s="48">
        <v>946</v>
      </c>
      <c r="AH25" s="110">
        <v>3474</v>
      </c>
      <c r="AI25" s="48">
        <v>933</v>
      </c>
      <c r="AJ25" s="48">
        <v>2541</v>
      </c>
      <c r="AK25" s="48">
        <v>881</v>
      </c>
      <c r="AL25" s="48">
        <v>1660</v>
      </c>
      <c r="AM25" s="48">
        <v>851</v>
      </c>
      <c r="AN25" s="48">
        <v>809</v>
      </c>
      <c r="AO25" s="175">
        <v>809</v>
      </c>
      <c r="AP25" s="15"/>
      <c r="AQ25" s="15"/>
      <c r="AR25" s="15"/>
      <c r="AS25" s="15"/>
      <c r="AT25" s="15"/>
      <c r="AU25" s="15"/>
      <c r="AV25" s="15"/>
      <c r="AW25" s="15"/>
      <c r="AX25" s="15"/>
      <c r="AY25" s="15"/>
      <c r="AZ25" s="15"/>
      <c r="BA25" s="15"/>
      <c r="BB25" s="15"/>
      <c r="BC25" s="15"/>
      <c r="BD25" s="15"/>
      <c r="BE25" s="15"/>
      <c r="BF25" s="15"/>
      <c r="BG25" s="15"/>
      <c r="BH25" s="15"/>
      <c r="BI25" s="15"/>
      <c r="BJ25" s="15"/>
      <c r="BK25" s="15"/>
    </row>
    <row r="26" spans="1:63" x14ac:dyDescent="0.25">
      <c r="A26" s="47"/>
      <c r="B26" s="106"/>
      <c r="C26" s="47"/>
      <c r="H26" s="15"/>
      <c r="I26" s="15"/>
      <c r="J26" s="106"/>
      <c r="K26" s="47"/>
      <c r="M26" s="47"/>
      <c r="R26" s="106"/>
      <c r="S26" s="47"/>
      <c r="U26" s="47"/>
      <c r="W26" s="47"/>
      <c r="Z26" s="106"/>
      <c r="AA26" s="47"/>
      <c r="AC26" s="47"/>
      <c r="AE26" s="47"/>
      <c r="AH26" s="95"/>
      <c r="AO26" s="96"/>
      <c r="AP26" s="15"/>
      <c r="AQ26" s="15"/>
      <c r="AR26" s="15"/>
      <c r="AS26" s="15"/>
      <c r="AT26" s="15"/>
      <c r="AU26" s="15"/>
      <c r="AV26" s="15"/>
      <c r="AW26" s="15"/>
      <c r="AX26" s="15"/>
      <c r="AY26" s="15"/>
      <c r="AZ26" s="15"/>
      <c r="BA26" s="15"/>
      <c r="BB26" s="15"/>
      <c r="BC26" s="15"/>
      <c r="BD26" s="15"/>
      <c r="BE26" s="15"/>
      <c r="BF26" s="15"/>
      <c r="BG26" s="15"/>
      <c r="BH26" s="15"/>
      <c r="BI26" s="15"/>
      <c r="BJ26" s="15"/>
      <c r="BK26" s="15"/>
    </row>
    <row r="27" spans="1:63" x14ac:dyDescent="0.25">
      <c r="A27" s="47" t="s">
        <v>78</v>
      </c>
      <c r="B27" s="97">
        <f>C27</f>
        <v>345931</v>
      </c>
      <c r="C27" s="2">
        <v>345931</v>
      </c>
      <c r="D27" s="2">
        <f>E27</f>
        <v>334255</v>
      </c>
      <c r="E27" s="2">
        <v>334255</v>
      </c>
      <c r="F27" s="2">
        <f>G27</f>
        <v>318642</v>
      </c>
      <c r="G27" s="2">
        <v>318642</v>
      </c>
      <c r="H27" s="2">
        <f>I27</f>
        <v>318295</v>
      </c>
      <c r="I27" s="2">
        <v>318295</v>
      </c>
      <c r="J27" s="97">
        <f>K27</f>
        <v>304402</v>
      </c>
      <c r="K27" s="2">
        <v>304402</v>
      </c>
      <c r="L27" s="2">
        <f>M27</f>
        <v>296987</v>
      </c>
      <c r="M27" s="2">
        <v>296987</v>
      </c>
      <c r="N27" s="2">
        <f>O27</f>
        <v>299939</v>
      </c>
      <c r="O27" s="2">
        <v>299939</v>
      </c>
      <c r="P27" s="2">
        <f>Q27</f>
        <v>296492</v>
      </c>
      <c r="Q27" s="2">
        <v>296492</v>
      </c>
      <c r="R27" s="97">
        <f>S27</f>
        <v>287049</v>
      </c>
      <c r="S27" s="2">
        <v>287049</v>
      </c>
      <c r="T27" s="2">
        <f>U27</f>
        <v>280338</v>
      </c>
      <c r="U27" s="2">
        <v>280338</v>
      </c>
      <c r="V27" s="2">
        <f>W27</f>
        <v>278715</v>
      </c>
      <c r="W27" s="2">
        <v>278715</v>
      </c>
      <c r="X27" s="2">
        <f>Y27</f>
        <v>278639</v>
      </c>
      <c r="Y27" s="2">
        <v>278639</v>
      </c>
      <c r="Z27" s="97">
        <f>AA27</f>
        <v>255895</v>
      </c>
      <c r="AA27" s="2">
        <v>255895</v>
      </c>
      <c r="AB27" s="2">
        <f>AC27</f>
        <v>251604</v>
      </c>
      <c r="AC27" s="2">
        <v>251604</v>
      </c>
      <c r="AD27" s="2">
        <f>AE27</f>
        <v>246462</v>
      </c>
      <c r="AE27" s="2">
        <v>246462</v>
      </c>
      <c r="AF27" s="2">
        <f>AG27</f>
        <v>241926</v>
      </c>
      <c r="AG27" s="2">
        <v>241926</v>
      </c>
      <c r="AH27" s="97">
        <v>234061</v>
      </c>
      <c r="AI27" s="2">
        <v>234061</v>
      </c>
      <c r="AJ27" s="2">
        <v>226023</v>
      </c>
      <c r="AK27" s="2">
        <v>226023</v>
      </c>
      <c r="AL27" s="2">
        <v>223954</v>
      </c>
      <c r="AM27" s="2">
        <v>223954</v>
      </c>
      <c r="AN27" s="2">
        <v>217370</v>
      </c>
      <c r="AO27" s="98">
        <v>217370</v>
      </c>
      <c r="AP27" s="2"/>
      <c r="AQ27" s="2"/>
      <c r="AR27" s="2"/>
      <c r="AS27" s="2"/>
      <c r="AT27" s="15"/>
      <c r="AU27" s="15"/>
      <c r="AV27" s="15"/>
      <c r="AW27" s="15"/>
      <c r="AX27" s="15"/>
      <c r="AY27" s="15"/>
      <c r="AZ27" s="15"/>
      <c r="BA27" s="15"/>
      <c r="BB27" s="15"/>
      <c r="BC27" s="15"/>
      <c r="BD27" s="15"/>
      <c r="BE27" s="15"/>
      <c r="BF27" s="15"/>
      <c r="BG27" s="15"/>
      <c r="BH27" s="15"/>
      <c r="BI27" s="15"/>
      <c r="BJ27" s="15"/>
      <c r="BK27" s="15"/>
    </row>
    <row r="28" spans="1:63" x14ac:dyDescent="0.25">
      <c r="A28" s="47" t="s">
        <v>79</v>
      </c>
      <c r="B28" s="97">
        <v>321177</v>
      </c>
      <c r="C28" s="2">
        <v>337947</v>
      </c>
      <c r="D28" s="48">
        <v>315776</v>
      </c>
      <c r="E28" s="48">
        <v>323816</v>
      </c>
      <c r="F28" s="2">
        <v>311591</v>
      </c>
      <c r="G28" s="2">
        <v>316347</v>
      </c>
      <c r="H28" s="2">
        <f>I28</f>
        <v>308512</v>
      </c>
      <c r="I28" s="2">
        <v>308512</v>
      </c>
      <c r="J28" s="97">
        <v>295753</v>
      </c>
      <c r="K28" s="2">
        <v>301021</v>
      </c>
      <c r="L28" s="2">
        <v>293769</v>
      </c>
      <c r="M28" s="2">
        <v>300562</v>
      </c>
      <c r="N28" s="2">
        <v>290768</v>
      </c>
      <c r="O28" s="2">
        <v>295347</v>
      </c>
      <c r="P28" s="2">
        <f>Q28</f>
        <v>287629</v>
      </c>
      <c r="Q28" s="2">
        <v>287629</v>
      </c>
      <c r="R28" s="97">
        <v>275235</v>
      </c>
      <c r="S28" s="2">
        <v>282912</v>
      </c>
      <c r="T28" s="2">
        <v>272674</v>
      </c>
      <c r="U28" s="2">
        <v>280147</v>
      </c>
      <c r="V28" s="2">
        <v>269266</v>
      </c>
      <c r="W28" s="2">
        <v>275917</v>
      </c>
      <c r="X28" s="2">
        <f>Y28</f>
        <v>264959</v>
      </c>
      <c r="Y28" s="2">
        <v>264959</v>
      </c>
      <c r="Z28" s="97">
        <v>247923</v>
      </c>
      <c r="AA28" s="2">
        <v>256488</v>
      </c>
      <c r="AB28" s="2">
        <v>244865</v>
      </c>
      <c r="AC28" s="2">
        <v>251291</v>
      </c>
      <c r="AD28" s="2">
        <v>241421</v>
      </c>
      <c r="AE28" s="2">
        <v>245009</v>
      </c>
      <c r="AF28" s="2">
        <f>AG28</f>
        <v>237959</v>
      </c>
      <c r="AG28" s="2">
        <v>237959</v>
      </c>
      <c r="AH28" s="97">
        <v>223838</v>
      </c>
      <c r="AI28" s="2">
        <v>231062</v>
      </c>
      <c r="AJ28" s="2">
        <v>221168</v>
      </c>
      <c r="AK28" s="2">
        <v>225472</v>
      </c>
      <c r="AL28" s="2">
        <v>219106</v>
      </c>
      <c r="AM28" s="2">
        <v>221838</v>
      </c>
      <c r="AN28" s="2">
        <v>215940</v>
      </c>
      <c r="AO28" s="98">
        <v>215940</v>
      </c>
      <c r="AP28" s="2"/>
      <c r="AQ28" s="2"/>
      <c r="AR28" s="2"/>
      <c r="AS28" s="2"/>
      <c r="AT28" s="15"/>
      <c r="AU28" s="15"/>
      <c r="AV28" s="15"/>
      <c r="AW28" s="15"/>
      <c r="AX28" s="15"/>
      <c r="AY28" s="15"/>
      <c r="AZ28" s="15"/>
      <c r="BA28" s="15"/>
      <c r="BB28" s="15"/>
      <c r="BC28" s="15"/>
      <c r="BD28" s="15"/>
      <c r="BE28" s="15"/>
      <c r="BF28" s="15"/>
      <c r="BG28" s="15"/>
      <c r="BH28" s="15"/>
      <c r="BI28" s="15"/>
      <c r="BJ28" s="15"/>
      <c r="BK28" s="15"/>
    </row>
    <row r="29" spans="1:63" x14ac:dyDescent="0.25">
      <c r="A29" s="47"/>
      <c r="B29" s="106"/>
      <c r="C29" s="47"/>
      <c r="H29" s="15"/>
      <c r="I29" s="15"/>
      <c r="J29" s="106"/>
      <c r="K29" s="47"/>
      <c r="M29" s="47"/>
      <c r="R29" s="106"/>
      <c r="S29" s="47"/>
      <c r="U29" s="47"/>
      <c r="W29" s="2"/>
      <c r="Z29" s="106"/>
      <c r="AA29" s="47"/>
      <c r="AC29" s="47"/>
      <c r="AE29" s="2"/>
      <c r="AH29" s="95"/>
      <c r="AO29" s="96"/>
      <c r="AP29" s="15"/>
      <c r="AQ29" s="15"/>
      <c r="AR29" s="15"/>
      <c r="AS29" s="15"/>
      <c r="AT29" s="15"/>
      <c r="AU29" s="15"/>
      <c r="AV29" s="15"/>
      <c r="AW29" s="15"/>
      <c r="AX29" s="15"/>
      <c r="AY29" s="15"/>
      <c r="AZ29" s="15"/>
      <c r="BA29" s="15"/>
      <c r="BB29" s="15"/>
      <c r="BC29" s="15"/>
      <c r="BD29" s="15"/>
      <c r="BE29" s="15"/>
      <c r="BF29" s="15"/>
      <c r="BG29" s="15"/>
      <c r="BH29" s="15"/>
      <c r="BI29" s="15"/>
      <c r="BJ29" s="15"/>
      <c r="BK29" s="15"/>
    </row>
    <row r="30" spans="1:63" ht="15.75" thickBot="1" x14ac:dyDescent="0.3">
      <c r="A30" s="49" t="s">
        <v>9</v>
      </c>
      <c r="B30" s="114">
        <f>(B25/365*365)/B28</f>
        <v>1.4060782683691547E-2</v>
      </c>
      <c r="C30" s="52">
        <f>(C25/92*365)/C28</f>
        <v>1.5097234824961619E-2</v>
      </c>
      <c r="D30" s="51">
        <f>(D25/273*365)/D28</f>
        <v>1.3675827702226162E-2</v>
      </c>
      <c r="E30" s="52">
        <f>(E25/92*365)/E28</f>
        <v>1.3660971985163877E-2</v>
      </c>
      <c r="F30" s="51">
        <f>(F25/181*365)/F28</f>
        <v>1.3687992427954545E-2</v>
      </c>
      <c r="G30" s="52">
        <f>(G25/91*365)/G28</f>
        <v>1.3959667394029027E-2</v>
      </c>
      <c r="H30" s="52">
        <f>(H25/90*365)/H28</f>
        <v>1.3329573349929125E-2</v>
      </c>
      <c r="I30" s="52">
        <f>(I25/90*365)/I28</f>
        <v>1.3329573349929125E-2</v>
      </c>
      <c r="J30" s="114">
        <f>(J25/365*365)/J28</f>
        <v>1.3490987411792948E-2</v>
      </c>
      <c r="K30" s="52">
        <f>(K25/92*365)/K28</f>
        <v>1.3245681400532073E-2</v>
      </c>
      <c r="L30" s="51">
        <f>(L25/273*365)/L28</f>
        <v>1.3585279814868369E-2</v>
      </c>
      <c r="M30" s="52">
        <f>(M25/92*365)/M28</f>
        <v>1.3054710841689901E-2</v>
      </c>
      <c r="N30" s="51">
        <f>(N25/181*365)/N28</f>
        <v>1.3842936199747486E-2</v>
      </c>
      <c r="O30" s="52">
        <f>(O25/91*365)/O28</f>
        <v>1.3594179050405117E-2</v>
      </c>
      <c r="P30" s="52">
        <f>(P25/90*365)/P28</f>
        <v>1.4029453837331346E-2</v>
      </c>
      <c r="Q30" s="52">
        <f>(Q25/90*365)/Q28</f>
        <v>1.4029453837331346E-2</v>
      </c>
      <c r="R30" s="114">
        <f>(R25/366*366)/R28</f>
        <v>1.5074390974985013E-2</v>
      </c>
      <c r="S30" s="52">
        <f>(S25/92*366)/S28</f>
        <v>1.3977460497779615E-2</v>
      </c>
      <c r="T30" s="51">
        <f>(T25/273*366)/T28</f>
        <v>1.5512224193653298E-2</v>
      </c>
      <c r="U30" s="52">
        <f>(U25/92*366)/U28</f>
        <v>1.4782844596648871E-2</v>
      </c>
      <c r="V30" s="51">
        <f>(V25/182*366)/V28</f>
        <v>1.5788219712963278E-2</v>
      </c>
      <c r="W30" s="52">
        <f>(W25/91*366)/W28</f>
        <v>1.4955763691796631E-2</v>
      </c>
      <c r="X30" s="52">
        <f>(X25/91*366)/X28</f>
        <v>1.6515431021071517E-2</v>
      </c>
      <c r="Y30" s="52">
        <f>(Y25/91*366)/Y28</f>
        <v>1.6515431021071517E-2</v>
      </c>
      <c r="Z30" s="114">
        <f>(Z25/365*365)/Z28</f>
        <v>1.6150175659378114E-2</v>
      </c>
      <c r="AA30" s="52">
        <f>(AA25/92*365)/AA28</f>
        <v>1.6318883636220631E-2</v>
      </c>
      <c r="AB30" s="51">
        <f>(AB25/273*365)/AB28</f>
        <v>1.6101942694146561E-2</v>
      </c>
      <c r="AC30" s="52">
        <f>(AC25/92*365)/AC28</f>
        <v>1.6198524731330884E-2</v>
      </c>
      <c r="AD30" s="51">
        <f>(AD25/181*365)/AD28</f>
        <v>1.6062699301953001E-2</v>
      </c>
      <c r="AE30" s="52">
        <f>(AE25/91*365)/AE28</f>
        <v>1.5994254348763774E-2</v>
      </c>
      <c r="AF30" s="52">
        <f>(AF25/90*365)/AF28</f>
        <v>1.6122758775904907E-2</v>
      </c>
      <c r="AG30" s="115">
        <f>(AG25/90*365)/AG28</f>
        <v>1.6122758775904907E-2</v>
      </c>
      <c r="AH30" s="114">
        <v>1.5520152967771334E-2</v>
      </c>
      <c r="AI30" s="52">
        <v>1.6019839207470386E-2</v>
      </c>
      <c r="AJ30" s="51">
        <v>1.5360756042048092E-2</v>
      </c>
      <c r="AK30" s="52">
        <v>1.5502021267077217E-2</v>
      </c>
      <c r="AL30" s="51">
        <v>1.5278056338734202E-2</v>
      </c>
      <c r="AM30" s="52">
        <v>1.5386685997672395E-2</v>
      </c>
      <c r="AN30" s="52">
        <v>1.519377810708736E-2</v>
      </c>
      <c r="AO30" s="115">
        <v>1.519377810708736E-2</v>
      </c>
      <c r="AP30" s="15"/>
      <c r="AQ30" s="15"/>
      <c r="AR30" s="15"/>
      <c r="AS30" s="15"/>
      <c r="AT30" s="15"/>
      <c r="AU30" s="15"/>
      <c r="AV30" s="15"/>
      <c r="AW30" s="15"/>
      <c r="AX30" s="15"/>
      <c r="AY30" s="15"/>
      <c r="AZ30" s="15"/>
      <c r="BA30" s="15"/>
      <c r="BB30" s="15"/>
      <c r="BC30" s="15"/>
      <c r="BD30" s="15"/>
      <c r="BE30" s="15"/>
      <c r="BF30" s="15"/>
      <c r="BG30" s="15"/>
      <c r="BH30" s="15"/>
      <c r="BI30" s="15"/>
      <c r="BJ30" s="15"/>
      <c r="BK30" s="15"/>
    </row>
    <row r="31" spans="1:63" customFormat="1" x14ac:dyDescent="0.25">
      <c r="B31" s="168"/>
      <c r="J31" s="168"/>
      <c r="L31" s="83"/>
      <c r="R31" s="168"/>
      <c r="T31" s="83"/>
      <c r="V31" s="83"/>
      <c r="Z31" s="168"/>
      <c r="AB31" s="83"/>
      <c r="AD31" s="83"/>
      <c r="AH31" s="116"/>
      <c r="AJ31" s="83"/>
      <c r="AK31" s="83"/>
      <c r="AL31" s="83"/>
      <c r="AM31" s="83"/>
      <c r="AN31" s="83"/>
      <c r="AO31" s="117"/>
    </row>
    <row r="32" spans="1:63" x14ac:dyDescent="0.25">
      <c r="A32" s="15" t="s">
        <v>80</v>
      </c>
      <c r="B32" s="97">
        <f>C32+E32+G32+I32</f>
        <v>2864</v>
      </c>
      <c r="C32" s="2">
        <v>908</v>
      </c>
      <c r="D32" s="2">
        <f>I32+G32+E32</f>
        <v>1956</v>
      </c>
      <c r="E32" s="2">
        <v>743</v>
      </c>
      <c r="F32" s="2">
        <f>I32+G32</f>
        <v>1213</v>
      </c>
      <c r="G32" s="2">
        <v>638</v>
      </c>
      <c r="H32" s="2">
        <f>I32</f>
        <v>575</v>
      </c>
      <c r="I32" s="2">
        <v>575</v>
      </c>
      <c r="J32" s="97">
        <f>K32+M32+O32+Q32</f>
        <v>2031.6679849100001</v>
      </c>
      <c r="K32" s="2">
        <v>545.57996581000009</v>
      </c>
      <c r="L32" s="2">
        <f>Q32+O32+M32</f>
        <v>1486.0880191000001</v>
      </c>
      <c r="M32" s="12">
        <v>486.5437509799998</v>
      </c>
      <c r="N32" s="2">
        <f>Q32+O32</f>
        <v>999.5442681200002</v>
      </c>
      <c r="O32" s="2">
        <v>483.48174381000007</v>
      </c>
      <c r="P32" s="2">
        <f>Q32</f>
        <v>516.06252431000019</v>
      </c>
      <c r="Q32" s="2">
        <v>516.06252431000019</v>
      </c>
      <c r="R32" s="97">
        <f>S32+U32+W32+Y32</f>
        <v>2251.6491353300003</v>
      </c>
      <c r="S32" s="2">
        <v>493.9912728299999</v>
      </c>
      <c r="T32" s="2">
        <f>Y32+W32+U32</f>
        <v>1757.6578625000004</v>
      </c>
      <c r="U32" s="12">
        <v>522.14563047000024</v>
      </c>
      <c r="V32" s="2">
        <f>Y32+W32</f>
        <v>1235.5122320300002</v>
      </c>
      <c r="W32" s="2">
        <v>567.10037039000008</v>
      </c>
      <c r="X32" s="2">
        <f>Y32</f>
        <v>668.4118616400001</v>
      </c>
      <c r="Y32" s="2">
        <v>668.4118616400001</v>
      </c>
      <c r="Z32" s="97">
        <f>AA32+AC32+AE32+AG32</f>
        <v>2437.8292300200005</v>
      </c>
      <c r="AA32" s="2">
        <v>659.17671024000003</v>
      </c>
      <c r="AB32" s="2">
        <f>AG32+AE32+AC32</f>
        <v>1778.6525197800004</v>
      </c>
      <c r="AC32" s="2">
        <v>630.21066969000026</v>
      </c>
      <c r="AD32" s="2">
        <f>AG32+AE32</f>
        <v>1148.4418500900001</v>
      </c>
      <c r="AE32" s="2">
        <v>590.29957838000007</v>
      </c>
      <c r="AF32" s="2">
        <f>AG32</f>
        <v>558.14227171000005</v>
      </c>
      <c r="AG32" s="2">
        <v>558.14227171000005</v>
      </c>
      <c r="AH32" s="97">
        <v>2307.48231059</v>
      </c>
      <c r="AI32" s="2">
        <v>636.91967253999997</v>
      </c>
      <c r="AJ32" s="2">
        <v>1670.5626380500003</v>
      </c>
      <c r="AK32" s="2">
        <v>586.83123940000019</v>
      </c>
      <c r="AL32" s="2">
        <v>1083.7313986499998</v>
      </c>
      <c r="AM32" s="2">
        <v>566.59916804</v>
      </c>
      <c r="AN32" s="2">
        <v>517.13223060999985</v>
      </c>
      <c r="AO32" s="98">
        <v>517.13223060999985</v>
      </c>
      <c r="AP32" s="15"/>
      <c r="AQ32" s="15"/>
      <c r="AR32" s="15"/>
      <c r="AS32" s="15"/>
      <c r="AT32" s="15"/>
      <c r="AU32" s="15"/>
      <c r="AV32" s="15"/>
      <c r="AW32" s="15"/>
      <c r="AX32" s="15"/>
      <c r="AY32" s="15"/>
      <c r="AZ32" s="15"/>
      <c r="BA32" s="15"/>
      <c r="BB32" s="15"/>
      <c r="BC32" s="15"/>
      <c r="BD32" s="15"/>
      <c r="BE32" s="15"/>
      <c r="BF32" s="15"/>
      <c r="BG32" s="15"/>
      <c r="BH32" s="15"/>
      <c r="BI32" s="15"/>
      <c r="BJ32" s="15"/>
      <c r="BK32" s="15"/>
    </row>
    <row r="33" spans="1:63" x14ac:dyDescent="0.25">
      <c r="A33" s="19" t="s">
        <v>81</v>
      </c>
      <c r="B33" s="104">
        <f>I33+G33+E33+C33</f>
        <v>-1015</v>
      </c>
      <c r="C33" s="3">
        <v>-427</v>
      </c>
      <c r="D33" s="3">
        <f>E33+G33+I33</f>
        <v>-588</v>
      </c>
      <c r="E33" s="3">
        <v>-296</v>
      </c>
      <c r="F33" s="3">
        <f>I33+G33</f>
        <v>-292</v>
      </c>
      <c r="G33" s="3">
        <v>-158</v>
      </c>
      <c r="H33" s="3">
        <f>I33</f>
        <v>-134</v>
      </c>
      <c r="I33" s="3">
        <v>-134</v>
      </c>
      <c r="J33" s="104">
        <f>Q33+O33+M33+K33</f>
        <v>-209.42268865870432</v>
      </c>
      <c r="K33" s="3">
        <v>-89.280522002242648</v>
      </c>
      <c r="L33" s="3">
        <f>M33+O33+Q33</f>
        <v>-120.14216665646167</v>
      </c>
      <c r="M33" s="3">
        <v>-42.403755637136683</v>
      </c>
      <c r="N33" s="3">
        <f>Q33+O33</f>
        <v>-77.738411019324985</v>
      </c>
      <c r="O33" s="3">
        <v>-29.682531687304401</v>
      </c>
      <c r="P33" s="3">
        <f>Q33</f>
        <v>-48.055879332020581</v>
      </c>
      <c r="Q33" s="3">
        <v>-48.055879332020581</v>
      </c>
      <c r="R33" s="104">
        <f>Y33+W33+U33+S33</f>
        <v>-303.77155377885913</v>
      </c>
      <c r="S33" s="3">
        <v>-41.462952697426637</v>
      </c>
      <c r="T33" s="3">
        <f>Y33+W33+U33</f>
        <v>-262.30860108143247</v>
      </c>
      <c r="U33" s="3">
        <v>-30.373803184125823</v>
      </c>
      <c r="V33" s="3">
        <f>Y33+W33</f>
        <v>-231.93479789730662</v>
      </c>
      <c r="W33" s="3">
        <v>-51.579647335510245</v>
      </c>
      <c r="X33" s="3">
        <f>Y33</f>
        <v>-180.35515056179639</v>
      </c>
      <c r="Y33" s="3">
        <v>-180.35515056179639</v>
      </c>
      <c r="Z33" s="104">
        <f>AG33+AE33+AC33+AA33</f>
        <v>-673.69755763024159</v>
      </c>
      <c r="AA33" s="3">
        <v>-203.98911885898565</v>
      </c>
      <c r="AB33" s="3">
        <f>AG33+AE33+AC33</f>
        <v>-469.70843877125594</v>
      </c>
      <c r="AC33" s="3">
        <v>-177.7791221391949</v>
      </c>
      <c r="AD33" s="3">
        <f>AG33+AE33</f>
        <v>-291.92931663206105</v>
      </c>
      <c r="AE33" s="3">
        <v>-157.42748252399144</v>
      </c>
      <c r="AF33" s="3">
        <f>AG33</f>
        <v>-134.50183410806957</v>
      </c>
      <c r="AG33" s="3">
        <v>-134.50183410806957</v>
      </c>
      <c r="AH33" s="104">
        <v>-510.19362333641607</v>
      </c>
      <c r="AI33" s="3">
        <v>-151.99439937329316</v>
      </c>
      <c r="AJ33" s="3">
        <v>-358.1992239631229</v>
      </c>
      <c r="AK33" s="3">
        <v>-127.66900899610964</v>
      </c>
      <c r="AL33" s="3">
        <v>-230.53021496701331</v>
      </c>
      <c r="AM33" s="3">
        <v>-124.77084356176023</v>
      </c>
      <c r="AN33" s="3">
        <v>-105.75937140525308</v>
      </c>
      <c r="AO33" s="105">
        <v>-105.75937140525308</v>
      </c>
      <c r="AP33" s="15"/>
      <c r="AQ33" s="15"/>
      <c r="AR33" s="15"/>
      <c r="AS33" s="15"/>
      <c r="AT33" s="15"/>
      <c r="AU33" s="15"/>
      <c r="AV33" s="15"/>
      <c r="AW33" s="15"/>
      <c r="AX33" s="15"/>
      <c r="AY33" s="15"/>
      <c r="AZ33" s="15"/>
      <c r="BA33" s="15"/>
      <c r="BB33" s="15"/>
      <c r="BC33" s="15"/>
      <c r="BD33" s="15"/>
      <c r="BE33" s="15"/>
      <c r="BF33" s="15"/>
      <c r="BG33" s="15"/>
      <c r="BH33" s="15"/>
      <c r="BI33" s="15"/>
      <c r="BJ33" s="15"/>
      <c r="BK33" s="15"/>
    </row>
    <row r="34" spans="1:63" x14ac:dyDescent="0.25">
      <c r="A34" s="15" t="s">
        <v>82</v>
      </c>
      <c r="B34" s="97">
        <f t="shared" ref="B34:C34" si="74">SUM(B32:B33)</f>
        <v>1849</v>
      </c>
      <c r="C34" s="2">
        <f t="shared" si="74"/>
        <v>481</v>
      </c>
      <c r="D34" s="2">
        <f t="shared" ref="D34:E34" si="75">SUM(D32:D33)</f>
        <v>1368</v>
      </c>
      <c r="E34" s="2">
        <f t="shared" si="75"/>
        <v>447</v>
      </c>
      <c r="F34" s="2">
        <f t="shared" ref="F34:G34" si="76">SUM(F32:F33)</f>
        <v>921</v>
      </c>
      <c r="G34" s="2">
        <f t="shared" si="76"/>
        <v>480</v>
      </c>
      <c r="H34" s="2">
        <f t="shared" ref="H34:I34" si="77">SUM(H32:H33)</f>
        <v>441</v>
      </c>
      <c r="I34" s="2">
        <f t="shared" si="77"/>
        <v>441</v>
      </c>
      <c r="J34" s="97">
        <f t="shared" ref="J34:K34" si="78">SUM(J32:J33)</f>
        <v>1822.2452962512957</v>
      </c>
      <c r="K34" s="2">
        <f t="shared" si="78"/>
        <v>456.29944380775743</v>
      </c>
      <c r="L34" s="2">
        <f t="shared" ref="L34:M34" si="79">SUM(L32:L33)</f>
        <v>1365.9458524435383</v>
      </c>
      <c r="M34" s="2">
        <f t="shared" si="79"/>
        <v>444.13999534286313</v>
      </c>
      <c r="N34" s="2">
        <f t="shared" ref="N34:O34" si="80">SUM(N32:N33)</f>
        <v>921.80585710067521</v>
      </c>
      <c r="O34" s="2">
        <f t="shared" si="80"/>
        <v>453.79921212269568</v>
      </c>
      <c r="P34" s="2">
        <f t="shared" ref="P34:Q34" si="81">SUM(P32:P33)</f>
        <v>468.00664497797959</v>
      </c>
      <c r="Q34" s="2">
        <f t="shared" si="81"/>
        <v>468.00664497797959</v>
      </c>
      <c r="R34" s="97">
        <f t="shared" ref="R34:S34" si="82">SUM(R32:R33)</f>
        <v>1947.8775815511412</v>
      </c>
      <c r="S34" s="2">
        <f t="shared" si="82"/>
        <v>452.52832013257324</v>
      </c>
      <c r="T34" s="2">
        <f t="shared" ref="T34:U34" si="83">SUM(T32:T33)</f>
        <v>1495.3492614185679</v>
      </c>
      <c r="U34" s="2">
        <f t="shared" si="83"/>
        <v>491.77182728587439</v>
      </c>
      <c r="V34" s="2">
        <f t="shared" ref="V34:W34" si="84">SUM(V32:V33)</f>
        <v>1003.5774341326935</v>
      </c>
      <c r="W34" s="2">
        <f t="shared" si="84"/>
        <v>515.52072305448985</v>
      </c>
      <c r="X34" s="2">
        <f t="shared" ref="X34:Y34" si="85">SUM(X32:X33)</f>
        <v>488.0567110782037</v>
      </c>
      <c r="Y34" s="2">
        <f t="shared" si="85"/>
        <v>488.0567110782037</v>
      </c>
      <c r="Z34" s="97">
        <f t="shared" ref="Z34:AD34" si="86">SUM(Z32:Z33)</f>
        <v>1764.1316723897589</v>
      </c>
      <c r="AA34" s="2">
        <f t="shared" si="86"/>
        <v>455.18759138101439</v>
      </c>
      <c r="AB34" s="2">
        <f t="shared" si="86"/>
        <v>1308.9440810087444</v>
      </c>
      <c r="AC34" s="2">
        <f t="shared" ref="AC34:AG34" si="87">SUM(AC32:AC33)</f>
        <v>452.43154755080536</v>
      </c>
      <c r="AD34" s="2">
        <f t="shared" si="86"/>
        <v>856.51253345793907</v>
      </c>
      <c r="AE34" s="2">
        <f t="shared" si="87"/>
        <v>432.87209585600863</v>
      </c>
      <c r="AF34" s="2">
        <f t="shared" si="87"/>
        <v>423.64043760193044</v>
      </c>
      <c r="AG34" s="2">
        <f t="shared" si="87"/>
        <v>423.64043760193044</v>
      </c>
      <c r="AH34" s="97">
        <v>1797.2886872535839</v>
      </c>
      <c r="AI34" s="2">
        <v>484.9252731667068</v>
      </c>
      <c r="AJ34" s="2">
        <v>1312.3634140868774</v>
      </c>
      <c r="AK34" s="2">
        <v>459.16223040389053</v>
      </c>
      <c r="AL34" s="2">
        <v>853.20118368298654</v>
      </c>
      <c r="AM34" s="2">
        <v>441.82832447823978</v>
      </c>
      <c r="AN34" s="2">
        <v>411.37285920474676</v>
      </c>
      <c r="AO34" s="98">
        <v>411.37285920474676</v>
      </c>
      <c r="AP34" s="15"/>
      <c r="AQ34" s="15"/>
      <c r="AR34" s="15"/>
      <c r="AS34" s="15"/>
      <c r="AT34" s="15"/>
      <c r="AU34" s="15"/>
      <c r="AV34" s="15"/>
      <c r="AW34" s="15"/>
      <c r="AX34" s="15"/>
      <c r="AY34" s="15"/>
      <c r="AZ34" s="15"/>
      <c r="BA34" s="15"/>
      <c r="BB34" s="15"/>
      <c r="BC34" s="15"/>
      <c r="BD34" s="15"/>
      <c r="BE34" s="15"/>
      <c r="BF34" s="15"/>
      <c r="BG34" s="15"/>
      <c r="BH34" s="15"/>
      <c r="BI34" s="15"/>
      <c r="BJ34" s="15"/>
      <c r="BK34" s="15"/>
    </row>
    <row r="35" spans="1:63" x14ac:dyDescent="0.25">
      <c r="A35" s="15" t="s">
        <v>83</v>
      </c>
      <c r="B35" s="97">
        <v>73025.32962446165</v>
      </c>
      <c r="C35" s="2">
        <v>77120</v>
      </c>
      <c r="D35" s="2">
        <v>71660</v>
      </c>
      <c r="E35" s="2">
        <v>74937</v>
      </c>
      <c r="F35" s="2">
        <v>70022</v>
      </c>
      <c r="G35" s="2">
        <v>71297</v>
      </c>
      <c r="H35" s="2">
        <f>I35</f>
        <v>68747</v>
      </c>
      <c r="I35" s="2">
        <v>68747</v>
      </c>
      <c r="J35" s="97">
        <v>66364.403078796662</v>
      </c>
      <c r="K35" s="2">
        <v>68132.101721960003</v>
      </c>
      <c r="L35" s="2">
        <v>65775.17019774222</v>
      </c>
      <c r="M35" s="2">
        <v>67167.735902873334</v>
      </c>
      <c r="N35" s="2">
        <v>65078.88734517667</v>
      </c>
      <c r="O35" s="2">
        <v>65627.698813786657</v>
      </c>
      <c r="P35" s="2">
        <f>Q35</f>
        <v>64530.075876566676</v>
      </c>
      <c r="Q35" s="2">
        <v>64530.075876566676</v>
      </c>
      <c r="R35" s="97">
        <v>66391.252441626668</v>
      </c>
      <c r="S35" s="2">
        <v>66161.310027663349</v>
      </c>
      <c r="T35" s="2">
        <v>66467.899912947789</v>
      </c>
      <c r="U35" s="2">
        <v>66746.928895463323</v>
      </c>
      <c r="V35" s="2">
        <v>66328.385421690007</v>
      </c>
      <c r="W35" s="2">
        <v>66866.053933449992</v>
      </c>
      <c r="X35" s="2">
        <f>Y35</f>
        <v>65790.716909930023</v>
      </c>
      <c r="Y35" s="2">
        <v>65790.716909930023</v>
      </c>
      <c r="Z35" s="97">
        <v>64641.349902755006</v>
      </c>
      <c r="AA35" s="2">
        <v>65875.015612706673</v>
      </c>
      <c r="AB35" s="2">
        <v>64230.127999437776</v>
      </c>
      <c r="AC35" s="2">
        <v>64591.337801726659</v>
      </c>
      <c r="AD35" s="2">
        <v>64049.523098293335</v>
      </c>
      <c r="AE35" s="2">
        <v>64997.240915163333</v>
      </c>
      <c r="AF35" s="2">
        <f>AG35</f>
        <v>63101.805281423331</v>
      </c>
      <c r="AG35" s="2">
        <v>63101.805281423331</v>
      </c>
      <c r="AH35" s="97">
        <v>65936.015153712491</v>
      </c>
      <c r="AI35" s="2">
        <v>70228.91038904</v>
      </c>
      <c r="AJ35" s="2">
        <v>64505.050075269988</v>
      </c>
      <c r="AK35" s="2">
        <v>67062.098568970003</v>
      </c>
      <c r="AL35" s="2">
        <v>63226.525828420003</v>
      </c>
      <c r="AM35" s="2">
        <v>64598.227632016664</v>
      </c>
      <c r="AN35" s="2">
        <v>61854.824024823334</v>
      </c>
      <c r="AO35" s="98">
        <v>61854.824024823334</v>
      </c>
      <c r="AP35" s="15"/>
      <c r="AQ35" s="15"/>
      <c r="AR35" s="15"/>
      <c r="AS35" s="15"/>
      <c r="AT35" s="15"/>
      <c r="AU35" s="15"/>
      <c r="AV35" s="15"/>
      <c r="AW35" s="15"/>
      <c r="AX35" s="15"/>
      <c r="AY35" s="15"/>
      <c r="AZ35" s="15"/>
      <c r="BA35" s="15"/>
      <c r="BB35" s="15"/>
      <c r="BC35" s="15"/>
      <c r="BD35" s="15"/>
      <c r="BE35" s="15"/>
      <c r="BF35" s="15"/>
      <c r="BG35" s="15"/>
      <c r="BH35" s="15"/>
      <c r="BI35" s="15"/>
      <c r="BJ35" s="15"/>
      <c r="BK35" s="15"/>
    </row>
    <row r="36" spans="1:63" ht="15.75" thickBot="1" x14ac:dyDescent="0.3">
      <c r="A36" s="42" t="s">
        <v>84</v>
      </c>
      <c r="B36" s="114">
        <f>(B34/365*365)/B35</f>
        <v>2.5319981566788184E-2</v>
      </c>
      <c r="C36" s="52">
        <f>(C34/92*365)/C35</f>
        <v>2.4744751262854053E-2</v>
      </c>
      <c r="D36" s="52">
        <f>(D34/273*365)/D35</f>
        <v>2.5523457842743357E-2</v>
      </c>
      <c r="E36" s="52">
        <f>(E34/92*365)/E35</f>
        <v>2.366553122013796E-2</v>
      </c>
      <c r="F36" s="52">
        <f>(F34/181*365)/F35</f>
        <v>2.6524023783527542E-2</v>
      </c>
      <c r="G36" s="52">
        <f>(G34/91*365)/G35</f>
        <v>2.7003586760659285E-2</v>
      </c>
      <c r="H36" s="52">
        <f>(H34/90*365)/H35</f>
        <v>2.6015680684248043E-2</v>
      </c>
      <c r="I36" s="52">
        <f>(I34/90*365)/I35</f>
        <v>2.6015680684248043E-2</v>
      </c>
      <c r="J36" s="114">
        <f>(J34/365*365)/J35</f>
        <v>2.7458173534502875E-2</v>
      </c>
      <c r="K36" s="52">
        <f>(K34/92*365)/K35</f>
        <v>2.6570711893335791E-2</v>
      </c>
      <c r="L36" s="52">
        <f>(L34/273*365)/L35</f>
        <v>2.7765258467017051E-2</v>
      </c>
      <c r="M36" s="52">
        <f>(M34/92*365)/M35</f>
        <v>2.6233981713845146E-2</v>
      </c>
      <c r="N36" s="52">
        <f>(N34/181*365)/N35</f>
        <v>2.8563645448631245E-2</v>
      </c>
      <c r="O36" s="52">
        <f>(O34/91*365)/O35</f>
        <v>2.7734991260081037E-2</v>
      </c>
      <c r="P36" s="52">
        <f>(P34/90*365)/P35</f>
        <v>2.9413059310636997E-2</v>
      </c>
      <c r="Q36" s="52">
        <f>(Q34/90*365)/Q35</f>
        <v>2.9413059310636997E-2</v>
      </c>
      <c r="R36" s="114">
        <f>(R34/366*366)/R35</f>
        <v>2.9339370924863606E-2</v>
      </c>
      <c r="S36" s="52">
        <f>(S34/92*366)/S35</f>
        <v>2.7210399969419697E-2</v>
      </c>
      <c r="T36" s="52">
        <f>(T34/273*366)/T35</f>
        <v>3.0161235084822172E-2</v>
      </c>
      <c r="U36" s="52">
        <f>(U34/92*366)/U35</f>
        <v>2.9310661173789995E-2</v>
      </c>
      <c r="V36" s="52">
        <f>(V34/182*366)/V35</f>
        <v>3.0427141847137889E-2</v>
      </c>
      <c r="W36" s="52">
        <f>(W34/91*366)/W35</f>
        <v>3.100845490393361E-2</v>
      </c>
      <c r="X36" s="52">
        <f>(X34/91*366)/X35</f>
        <v>2.9836327336617566E-2</v>
      </c>
      <c r="Y36" s="52">
        <f>(Y34/91*366)/Y35</f>
        <v>2.9836327336617566E-2</v>
      </c>
      <c r="Z36" s="114">
        <f>(Z34/365*365)/Z35</f>
        <v>2.7291071041116544E-2</v>
      </c>
      <c r="AA36" s="52">
        <f>(AA34/92*365)/AA35</f>
        <v>2.7414145941298651E-2</v>
      </c>
      <c r="AB36" s="52">
        <f>(AB34/273*365)/AB35</f>
        <v>2.7246613017134991E-2</v>
      </c>
      <c r="AC36" s="52">
        <f>(AC34/92*365)/AC35</f>
        <v>2.7789685872053757E-2</v>
      </c>
      <c r="AD36" s="52">
        <f>(AD34/181*365)/AD35</f>
        <v>2.6966967491682363E-2</v>
      </c>
      <c r="AE36" s="52">
        <f>(AE34/91*365)/AE35</f>
        <v>2.6712598799515815E-2</v>
      </c>
      <c r="AF36" s="52">
        <f>(AF34/90*365)/AF35</f>
        <v>2.7227387910885803E-2</v>
      </c>
      <c r="AG36" s="52">
        <f>(AG34/90*365)/AG35</f>
        <v>2.7227387910885803E-2</v>
      </c>
      <c r="AH36" s="114">
        <v>2.7258072588458332E-2</v>
      </c>
      <c r="AI36" s="52">
        <v>2.7394534549411587E-2</v>
      </c>
      <c r="AJ36" s="52">
        <v>2.7201359822133557E-2</v>
      </c>
      <c r="AK36" s="52">
        <v>2.7164020796573277E-2</v>
      </c>
      <c r="AL36" s="52">
        <v>2.7212373302278468E-2</v>
      </c>
      <c r="AM36" s="52">
        <v>2.7433702427890935E-2</v>
      </c>
      <c r="AN36" s="52">
        <v>2.6971954263147691E-2</v>
      </c>
      <c r="AO36" s="115">
        <v>2.6971954263147691E-2</v>
      </c>
      <c r="AP36" s="15"/>
      <c r="AQ36" s="15"/>
      <c r="AR36" s="15"/>
      <c r="AS36" s="15"/>
      <c r="AT36" s="15"/>
      <c r="AU36" s="15"/>
      <c r="AV36" s="15"/>
      <c r="AW36" s="15"/>
      <c r="AX36" s="15"/>
      <c r="AY36" s="15"/>
      <c r="AZ36" s="15"/>
      <c r="BA36" s="15"/>
      <c r="BB36" s="15"/>
      <c r="BC36" s="15"/>
      <c r="BD36" s="15"/>
      <c r="BE36" s="15"/>
      <c r="BF36" s="15"/>
      <c r="BG36" s="15"/>
      <c r="BH36" s="15"/>
      <c r="BI36" s="15"/>
      <c r="BJ36" s="15"/>
      <c r="BK36" s="15"/>
    </row>
    <row r="37" spans="1:63" x14ac:dyDescent="0.25">
      <c r="A37" s="41"/>
      <c r="B37" s="186"/>
      <c r="C37" s="185"/>
      <c r="D37" s="185"/>
      <c r="E37" s="185"/>
      <c r="F37" s="185"/>
      <c r="G37" s="185"/>
      <c r="H37" s="185"/>
      <c r="I37" s="185"/>
      <c r="J37" s="186"/>
      <c r="K37" s="185"/>
      <c r="L37" s="185"/>
      <c r="M37" s="185"/>
      <c r="N37" s="185"/>
      <c r="O37" s="185"/>
      <c r="P37" s="185"/>
      <c r="Q37" s="185"/>
      <c r="R37" s="186"/>
      <c r="S37" s="185"/>
      <c r="T37" s="185"/>
      <c r="U37" s="185"/>
      <c r="V37" s="185"/>
      <c r="W37" s="185"/>
      <c r="X37" s="185"/>
      <c r="Y37" s="185"/>
      <c r="Z37" s="186"/>
      <c r="AA37" s="185"/>
      <c r="AB37" s="185"/>
      <c r="AC37" s="185"/>
      <c r="AD37" s="185"/>
      <c r="AE37" s="185"/>
      <c r="AF37" s="185"/>
      <c r="AG37" s="185"/>
      <c r="AH37" s="186"/>
      <c r="AI37" s="185"/>
      <c r="AJ37" s="185"/>
      <c r="AK37" s="185"/>
      <c r="AL37" s="185"/>
      <c r="AM37" s="185"/>
      <c r="AN37" s="185"/>
      <c r="AO37" s="193"/>
      <c r="AP37" s="15"/>
      <c r="AQ37" s="15"/>
      <c r="AR37" s="15"/>
      <c r="AS37" s="15"/>
      <c r="AT37" s="15"/>
      <c r="AU37" s="15"/>
      <c r="AV37" s="15"/>
      <c r="AW37" s="15"/>
      <c r="AX37" s="15"/>
      <c r="AY37" s="15"/>
      <c r="AZ37" s="15"/>
      <c r="BA37" s="15"/>
      <c r="BB37" s="15"/>
      <c r="BC37" s="15"/>
      <c r="BD37" s="15"/>
      <c r="BE37" s="15"/>
      <c r="BF37" s="15"/>
      <c r="BG37" s="15"/>
      <c r="BH37" s="15"/>
      <c r="BI37" s="15"/>
      <c r="BJ37" s="15"/>
      <c r="BK37" s="15"/>
    </row>
    <row r="38" spans="1:63" x14ac:dyDescent="0.25">
      <c r="A38" s="15" t="s">
        <v>85</v>
      </c>
      <c r="B38" s="97">
        <f>C38+E38+G38+I38</f>
        <v>771.74178900000004</v>
      </c>
      <c r="C38" s="2">
        <v>250.44178900000006</v>
      </c>
      <c r="D38" s="2">
        <f>I38+G38+E38</f>
        <v>521.29999999999995</v>
      </c>
      <c r="E38" s="2">
        <v>198.4</v>
      </c>
      <c r="F38" s="2">
        <f>I38+G38</f>
        <v>322.89999999999998</v>
      </c>
      <c r="G38" s="2">
        <v>168.9</v>
      </c>
      <c r="H38" s="2">
        <f>I38</f>
        <v>154</v>
      </c>
      <c r="I38" s="2">
        <v>154</v>
      </c>
      <c r="J38" s="97">
        <f>K38+M38+O38+Q38</f>
        <v>541.34106891999988</v>
      </c>
      <c r="K38" s="2">
        <v>143.43230831</v>
      </c>
      <c r="L38" s="2">
        <f>Q38+O38+M38</f>
        <v>397.90876060999994</v>
      </c>
      <c r="M38" s="12">
        <v>132.97665442000002</v>
      </c>
      <c r="N38" s="2">
        <f>Q38+O38</f>
        <v>264.93210618999996</v>
      </c>
      <c r="O38" s="2">
        <v>133.11863704999999</v>
      </c>
      <c r="P38" s="2">
        <f>Q38</f>
        <v>131.81346913999997</v>
      </c>
      <c r="Q38" s="2">
        <v>131.81346913999997</v>
      </c>
      <c r="R38" s="97">
        <f>S38+U38+W38+Y38</f>
        <v>599.37898340000004</v>
      </c>
      <c r="S38" s="2">
        <v>135.16534423000002</v>
      </c>
      <c r="T38" s="2">
        <f>Y38+W38+U38</f>
        <v>464.21363917000008</v>
      </c>
      <c r="U38" s="12">
        <v>136.96116714000001</v>
      </c>
      <c r="V38" s="2">
        <f>Y38+W38</f>
        <v>327.25247203000004</v>
      </c>
      <c r="W38" s="2">
        <v>150.10060804999998</v>
      </c>
      <c r="X38" s="2">
        <f>Y38</f>
        <v>177.15186398000003</v>
      </c>
      <c r="Y38" s="2">
        <v>177.15186398000003</v>
      </c>
      <c r="Z38" s="97">
        <f>AA38+AC38+AE38+AG38</f>
        <v>633.11383910000006</v>
      </c>
      <c r="AA38" s="2">
        <v>172.30233657999997</v>
      </c>
      <c r="AB38" s="2">
        <f>AG38+AE38+AC38</f>
        <v>460.81150252000003</v>
      </c>
      <c r="AC38" s="2">
        <v>162.75755686000008</v>
      </c>
      <c r="AD38" s="2">
        <f>AG38+AE38</f>
        <v>298.05394565999995</v>
      </c>
      <c r="AE38" s="2">
        <v>151.46602739999994</v>
      </c>
      <c r="AF38" s="2">
        <f>AG38</f>
        <v>146.58791826000001</v>
      </c>
      <c r="AG38" s="2">
        <v>146.58791826000001</v>
      </c>
      <c r="AH38" s="186"/>
      <c r="AI38" s="185"/>
      <c r="AJ38" s="185"/>
      <c r="AK38" s="185"/>
      <c r="AL38" s="185"/>
      <c r="AM38" s="185"/>
      <c r="AN38" s="185"/>
      <c r="AO38" s="193"/>
      <c r="AP38" s="15"/>
      <c r="AQ38" s="15"/>
      <c r="AR38" s="15"/>
      <c r="AS38" s="15"/>
      <c r="AT38" s="15"/>
      <c r="AU38" s="15"/>
      <c r="AV38" s="15"/>
      <c r="AW38" s="15"/>
      <c r="AX38" s="15"/>
      <c r="AY38" s="15"/>
      <c r="AZ38" s="15"/>
      <c r="BA38" s="15"/>
      <c r="BB38" s="15"/>
      <c r="BC38" s="15"/>
      <c r="BD38" s="15"/>
      <c r="BE38" s="15"/>
      <c r="BF38" s="15"/>
      <c r="BG38" s="15"/>
      <c r="BH38" s="15"/>
      <c r="BI38" s="15"/>
      <c r="BJ38" s="15"/>
      <c r="BK38" s="15"/>
    </row>
    <row r="39" spans="1:63" x14ac:dyDescent="0.25">
      <c r="A39" s="19" t="s">
        <v>81</v>
      </c>
      <c r="B39" s="104">
        <f>I39+G39+E39+C39</f>
        <v>-354.90604146037322</v>
      </c>
      <c r="C39" s="3">
        <v>-146.50604146037321</v>
      </c>
      <c r="D39" s="3">
        <f>E39+G39+I39</f>
        <v>-208.4</v>
      </c>
      <c r="E39" s="3">
        <v>-102.3</v>
      </c>
      <c r="F39" s="3">
        <f>I39+G39</f>
        <v>-106.1</v>
      </c>
      <c r="G39" s="3">
        <v>-57</v>
      </c>
      <c r="H39" s="3">
        <f>I39</f>
        <v>-49.1</v>
      </c>
      <c r="I39" s="3">
        <v>-49.1</v>
      </c>
      <c r="J39" s="104">
        <f>Q39+O39+M39+K39</f>
        <v>-92.659918779103293</v>
      </c>
      <c r="K39" s="3">
        <v>-35.171240442173961</v>
      </c>
      <c r="L39" s="3">
        <f>M39+O39+Q39</f>
        <v>-57.488678336929325</v>
      </c>
      <c r="M39" s="3">
        <v>-19.855022970997201</v>
      </c>
      <c r="N39" s="3">
        <f>Q39+O39</f>
        <v>-37.633655365932128</v>
      </c>
      <c r="O39" s="3">
        <v>-15.66742200397953</v>
      </c>
      <c r="P39" s="3">
        <f>Q39</f>
        <v>-21.9662333619526</v>
      </c>
      <c r="Q39" s="3">
        <v>-21.9662333619526</v>
      </c>
      <c r="R39" s="104">
        <f>Y39+W39+U39+S39</f>
        <v>-124.03945264374124</v>
      </c>
      <c r="S39" s="3">
        <v>-19.716870455731971</v>
      </c>
      <c r="T39" s="3">
        <f>Y39+W39+U39</f>
        <v>-104.32258218800928</v>
      </c>
      <c r="U39" s="3">
        <v>-16.030074947263124</v>
      </c>
      <c r="V39" s="3">
        <f>Y39+W39</f>
        <v>-88.292507240746147</v>
      </c>
      <c r="W39" s="3">
        <v>-22.965391150851026</v>
      </c>
      <c r="X39" s="3">
        <f>Y39</f>
        <v>-65.327116089895128</v>
      </c>
      <c r="Y39" s="3">
        <v>-65.327116089895128</v>
      </c>
      <c r="Z39" s="104">
        <f>AG39+AE39+AC39+AA39</f>
        <v>-235.66449007508285</v>
      </c>
      <c r="AA39" s="3">
        <v>-70.59928728176115</v>
      </c>
      <c r="AB39" s="3">
        <f>AG39+AE39+AC39</f>
        <v>-165.0652027933217</v>
      </c>
      <c r="AC39" s="3">
        <v>-61.650678206709621</v>
      </c>
      <c r="AD39" s="3">
        <f>AG39+AE39</f>
        <v>-103.41452458661207</v>
      </c>
      <c r="AE39" s="3">
        <v>-55.219453195990333</v>
      </c>
      <c r="AF39" s="3">
        <f>AG39</f>
        <v>-48.195071390621742</v>
      </c>
      <c r="AG39" s="3">
        <v>-48.195071390621742</v>
      </c>
      <c r="AH39" s="186"/>
      <c r="AI39" s="185"/>
      <c r="AJ39" s="185"/>
      <c r="AK39" s="185"/>
      <c r="AL39" s="185"/>
      <c r="AM39" s="185"/>
      <c r="AN39" s="185"/>
      <c r="AO39" s="193"/>
      <c r="AP39" s="15"/>
      <c r="AQ39" s="15"/>
      <c r="AR39" s="15"/>
      <c r="AS39" s="15"/>
      <c r="AT39" s="15"/>
      <c r="AU39" s="15"/>
      <c r="AV39" s="15"/>
      <c r="AW39" s="15"/>
      <c r="AX39" s="15"/>
      <c r="AY39" s="15"/>
      <c r="AZ39" s="15"/>
      <c r="BA39" s="15"/>
      <c r="BB39" s="15"/>
      <c r="BC39" s="15"/>
      <c r="BD39" s="15"/>
      <c r="BE39" s="15"/>
      <c r="BF39" s="15"/>
      <c r="BG39" s="15"/>
      <c r="BH39" s="15"/>
      <c r="BI39" s="15"/>
      <c r="BJ39" s="15"/>
      <c r="BK39" s="15"/>
    </row>
    <row r="40" spans="1:63" x14ac:dyDescent="0.25">
      <c r="A40" s="15" t="s">
        <v>86</v>
      </c>
      <c r="B40" s="97">
        <f t="shared" ref="B40:C40" si="88">SUM(B38:B39)</f>
        <v>416.83574753962682</v>
      </c>
      <c r="C40" s="2">
        <f t="shared" si="88"/>
        <v>103.93574753962685</v>
      </c>
      <c r="D40" s="2">
        <f t="shared" ref="D40:E40" si="89">SUM(D38:D39)</f>
        <v>312.89999999999998</v>
      </c>
      <c r="E40" s="2">
        <f t="shared" si="89"/>
        <v>96.100000000000009</v>
      </c>
      <c r="F40" s="2">
        <f t="shared" ref="F40:G40" si="90">SUM(F38:F39)</f>
        <v>216.79999999999998</v>
      </c>
      <c r="G40" s="2">
        <f t="shared" si="90"/>
        <v>111.9</v>
      </c>
      <c r="H40" s="2">
        <f t="shared" ref="H40" si="91">SUM(H38:H39)</f>
        <v>104.9</v>
      </c>
      <c r="I40" s="2">
        <v>104.9</v>
      </c>
      <c r="J40" s="97">
        <f t="shared" ref="J40:K40" si="92">SUM(J38:J39)</f>
        <v>448.68115014089659</v>
      </c>
      <c r="K40" s="2">
        <f t="shared" si="92"/>
        <v>108.26106786782603</v>
      </c>
      <c r="L40" s="2">
        <f t="shared" ref="L40:M40" si="93">SUM(L38:L39)</f>
        <v>340.42008227307065</v>
      </c>
      <c r="M40" s="2">
        <f t="shared" si="93"/>
        <v>113.12163144900282</v>
      </c>
      <c r="N40" s="2">
        <f t="shared" ref="N40:AG40" si="94">SUM(N38:N39)</f>
        <v>227.29845082406783</v>
      </c>
      <c r="O40" s="2">
        <f t="shared" si="94"/>
        <v>117.45121504602047</v>
      </c>
      <c r="P40" s="2">
        <f t="shared" si="94"/>
        <v>109.84723577804736</v>
      </c>
      <c r="Q40" s="2">
        <f t="shared" si="94"/>
        <v>109.84723577804736</v>
      </c>
      <c r="R40" s="97">
        <f t="shared" si="94"/>
        <v>475.3395307562588</v>
      </c>
      <c r="S40" s="2">
        <f t="shared" si="94"/>
        <v>115.44847377426805</v>
      </c>
      <c r="T40" s="2">
        <f t="shared" si="94"/>
        <v>359.8910569819908</v>
      </c>
      <c r="U40" s="2">
        <f t="shared" si="94"/>
        <v>120.93109219273688</v>
      </c>
      <c r="V40" s="2">
        <f t="shared" si="94"/>
        <v>238.95996478925389</v>
      </c>
      <c r="W40" s="2">
        <f t="shared" si="94"/>
        <v>127.13521689914896</v>
      </c>
      <c r="X40" s="2">
        <f t="shared" si="94"/>
        <v>111.8247478901049</v>
      </c>
      <c r="Y40" s="2">
        <f t="shared" si="94"/>
        <v>111.8247478901049</v>
      </c>
      <c r="Z40" s="97">
        <f t="shared" si="94"/>
        <v>397.44934902491718</v>
      </c>
      <c r="AA40" s="2">
        <f t="shared" si="94"/>
        <v>101.70304929823882</v>
      </c>
      <c r="AB40" s="2">
        <f t="shared" si="94"/>
        <v>295.74629972667833</v>
      </c>
      <c r="AC40" s="2">
        <f t="shared" si="94"/>
        <v>101.10687865329047</v>
      </c>
      <c r="AD40" s="2">
        <f t="shared" si="94"/>
        <v>194.63942107338789</v>
      </c>
      <c r="AE40" s="2">
        <f t="shared" si="94"/>
        <v>96.246574204009619</v>
      </c>
      <c r="AF40" s="2">
        <f t="shared" si="94"/>
        <v>98.392846869378275</v>
      </c>
      <c r="AG40" s="2">
        <f t="shared" si="94"/>
        <v>98.392846869378275</v>
      </c>
      <c r="AH40" s="186"/>
      <c r="AI40" s="185"/>
      <c r="AJ40" s="185"/>
      <c r="AK40" s="185"/>
      <c r="AL40" s="185"/>
      <c r="AM40" s="185"/>
      <c r="AN40" s="185"/>
      <c r="AO40" s="193"/>
      <c r="AP40" s="15"/>
      <c r="AQ40" s="15"/>
      <c r="AR40" s="15"/>
      <c r="AS40" s="15"/>
      <c r="AT40" s="15"/>
      <c r="AU40" s="15"/>
      <c r="AV40" s="15"/>
      <c r="AW40" s="15"/>
      <c r="AX40" s="15"/>
      <c r="AY40" s="15"/>
      <c r="AZ40" s="15"/>
      <c r="BA40" s="15"/>
      <c r="BB40" s="15"/>
      <c r="BC40" s="15"/>
      <c r="BD40" s="15"/>
      <c r="BE40" s="15"/>
      <c r="BF40" s="15"/>
      <c r="BG40" s="15"/>
      <c r="BH40" s="15"/>
      <c r="BI40" s="15"/>
      <c r="BJ40" s="15"/>
      <c r="BK40" s="15"/>
    </row>
    <row r="41" spans="1:63" x14ac:dyDescent="0.25">
      <c r="A41" s="15" t="s">
        <v>87</v>
      </c>
      <c r="B41" s="97">
        <v>17180.148169276668</v>
      </c>
      <c r="C41" s="2">
        <v>18192.581816290003</v>
      </c>
      <c r="D41" s="2">
        <v>16842.67028693889</v>
      </c>
      <c r="E41" s="2">
        <v>17375.099999999999</v>
      </c>
      <c r="F41" s="2">
        <v>16576</v>
      </c>
      <c r="G41" s="2">
        <v>16814.599999999999</v>
      </c>
      <c r="H41" s="2">
        <f>I41</f>
        <v>16338</v>
      </c>
      <c r="I41" s="2">
        <v>16338</v>
      </c>
      <c r="J41" s="97">
        <v>15867.937732373332</v>
      </c>
      <c r="K41" s="2">
        <v>16161.485690873335</v>
      </c>
      <c r="L41" s="2">
        <v>15770.088412873343</v>
      </c>
      <c r="M41" s="2">
        <v>15855.541456403345</v>
      </c>
      <c r="N41" s="2">
        <v>15727.361891108343</v>
      </c>
      <c r="O41" s="2">
        <v>15765.47026992334</v>
      </c>
      <c r="P41" s="2">
        <f>Q41</f>
        <v>15689.253512293348</v>
      </c>
      <c r="Q41" s="2">
        <v>15689.253512293348</v>
      </c>
      <c r="R41" s="97">
        <v>15738.003264761679</v>
      </c>
      <c r="S41" s="2">
        <v>15720.406665473352</v>
      </c>
      <c r="T41" s="2">
        <v>15743.868797857787</v>
      </c>
      <c r="U41" s="2">
        <v>15691.093277353326</v>
      </c>
      <c r="V41" s="2">
        <v>15770.256558110015</v>
      </c>
      <c r="W41" s="2">
        <v>15834.156385583365</v>
      </c>
      <c r="X41" s="2">
        <f>Y41</f>
        <v>15706.356730636668</v>
      </c>
      <c r="Y41" s="2">
        <v>15706.356730636668</v>
      </c>
      <c r="Z41" s="97">
        <v>14918.412125474997</v>
      </c>
      <c r="AA41" s="2">
        <v>15235.66317416667</v>
      </c>
      <c r="AB41" s="2">
        <v>14812.661775911109</v>
      </c>
      <c r="AC41" s="2">
        <v>14909.16962656666</v>
      </c>
      <c r="AD41" s="2">
        <v>14764.407850583333</v>
      </c>
      <c r="AE41" s="2">
        <v>14876.746436526659</v>
      </c>
      <c r="AF41" s="2">
        <f>AG41</f>
        <v>14652.069264640006</v>
      </c>
      <c r="AG41" s="2">
        <v>14652.069264640006</v>
      </c>
      <c r="AH41" s="186"/>
      <c r="AI41" s="185"/>
      <c r="AJ41" s="185"/>
      <c r="AK41" s="185"/>
      <c r="AL41" s="185"/>
      <c r="AM41" s="185"/>
      <c r="AN41" s="185"/>
      <c r="AO41" s="193"/>
      <c r="AP41" s="15"/>
      <c r="AQ41" s="15"/>
      <c r="AR41" s="15"/>
      <c r="AS41" s="15"/>
      <c r="AT41" s="15"/>
      <c r="AU41" s="15"/>
      <c r="AV41" s="15"/>
      <c r="AW41" s="15"/>
      <c r="AX41" s="15"/>
      <c r="AY41" s="15"/>
      <c r="AZ41" s="15"/>
      <c r="BA41" s="15"/>
      <c r="BB41" s="15"/>
      <c r="BC41" s="15"/>
      <c r="BD41" s="15"/>
      <c r="BE41" s="15"/>
      <c r="BF41" s="15"/>
      <c r="BG41" s="15"/>
      <c r="BH41" s="15"/>
      <c r="BI41" s="15"/>
      <c r="BJ41" s="15"/>
      <c r="BK41" s="15"/>
    </row>
    <row r="42" spans="1:63" ht="15.75" thickBot="1" x14ac:dyDescent="0.3">
      <c r="A42" s="42" t="s">
        <v>88</v>
      </c>
      <c r="B42" s="114">
        <f>(B40/365*365)/B41</f>
        <v>2.4262639846439504E-2</v>
      </c>
      <c r="C42" s="52">
        <f>(C40/92*365)/C41</f>
        <v>2.2666039661856936E-2</v>
      </c>
      <c r="D42" s="52">
        <f>(D40/273*365)/D41+0.01%</f>
        <v>2.4938469596508802E-2</v>
      </c>
      <c r="E42" s="52">
        <f>(E40/92*365)/E41</f>
        <v>2.1943258130763341E-2</v>
      </c>
      <c r="F42" s="52">
        <f>(F40/181*365)/F41</f>
        <v>2.6375082659613042E-2</v>
      </c>
      <c r="G42" s="52">
        <f>(G40/91*365)/G41</f>
        <v>2.6692854443737608E-2</v>
      </c>
      <c r="H42" s="52">
        <f>(H40/90*365)/H41</f>
        <v>2.6039158879775849E-2</v>
      </c>
      <c r="I42" s="52">
        <f>(I40/90*365)/I41</f>
        <v>2.6039158879775849E-2</v>
      </c>
      <c r="J42" s="114">
        <f>(J40/365*365)/J41</f>
        <v>2.8275958584429634E-2</v>
      </c>
      <c r="K42" s="52">
        <f>(K40/92*365)/K41</f>
        <v>2.6576394489572001E-2</v>
      </c>
      <c r="L42" s="52">
        <f>(L40/273*365)/L41</f>
        <v>2.8860992476589395E-2</v>
      </c>
      <c r="M42" s="52">
        <f>(M40/92*365)/M41</f>
        <v>2.8305421052849885E-2</v>
      </c>
      <c r="N42" s="52">
        <f>(N40/181*365)/N41</f>
        <v>2.9144384319486256E-2</v>
      </c>
      <c r="O42" s="52">
        <f>(O40/91*365)/O41</f>
        <v>2.9881476721670033E-2</v>
      </c>
      <c r="P42" s="52">
        <f>(P40/90*365)/P41</f>
        <v>2.8394694940266925E-2</v>
      </c>
      <c r="Q42" s="52">
        <f>(Q40/90*365)/Q41</f>
        <v>2.8394694940266925E-2</v>
      </c>
      <c r="R42" s="114">
        <f>(R40/366*366)/R41</f>
        <v>3.0203293439427105E-2</v>
      </c>
      <c r="S42" s="52">
        <f>(S40/92*366)/S41</f>
        <v>2.9215792914309285E-2</v>
      </c>
      <c r="T42" s="52">
        <f>(T40/273*366)/T41</f>
        <v>3.0646298781930897E-2</v>
      </c>
      <c r="U42" s="52">
        <f>(U40/92*366)/U41</f>
        <v>3.066041501891429E-2</v>
      </c>
      <c r="V42" s="52">
        <f>(V40/182*366)/V41</f>
        <v>3.0471657926857562E-2</v>
      </c>
      <c r="W42" s="52">
        <f>(W40/91*366)/W41</f>
        <v>3.2293166477334066E-2</v>
      </c>
      <c r="X42" s="52">
        <f>(X40/91*366)/X41</f>
        <v>2.8635328105718116E-2</v>
      </c>
      <c r="Y42" s="52">
        <f>(Y40/91*366)/Y41</f>
        <v>2.8635328105718116E-2</v>
      </c>
      <c r="Z42" s="114">
        <f>(Z40/365*365)/Z41</f>
        <v>2.6641531664500961E-2</v>
      </c>
      <c r="AA42" s="52">
        <f>(AA40/92*365)/AA41</f>
        <v>2.6483638342415679E-2</v>
      </c>
      <c r="AB42" s="52">
        <f>(AB40/273*365)/AB41</f>
        <v>2.6694170527664561E-2</v>
      </c>
      <c r="AC42" s="52">
        <f>(AC40/92*365)/AC41</f>
        <v>2.6904955891308705E-2</v>
      </c>
      <c r="AD42" s="52">
        <f>(AD40/181*365)/AD41</f>
        <v>2.6584534501589627E-2</v>
      </c>
      <c r="AE42" s="52">
        <f>(AE40/91*365)/AE41</f>
        <v>2.5949487888680615E-2</v>
      </c>
      <c r="AF42" s="52">
        <f>(AF40/90*365)/AF41</f>
        <v>2.7234218562632369E-2</v>
      </c>
      <c r="AG42" s="52">
        <f>(AG40/90*365)/AG41</f>
        <v>2.7234218562632369E-2</v>
      </c>
      <c r="AH42" s="186"/>
      <c r="AI42" s="185"/>
      <c r="AJ42" s="185"/>
      <c r="AK42" s="185"/>
      <c r="AL42" s="185"/>
      <c r="AM42" s="185"/>
      <c r="AN42" s="185"/>
      <c r="AO42" s="193"/>
      <c r="AP42" s="15"/>
      <c r="AQ42" s="15"/>
      <c r="AR42" s="15"/>
      <c r="AS42" s="15"/>
      <c r="AT42" s="15"/>
      <c r="AU42" s="15"/>
      <c r="AV42" s="15"/>
      <c r="AW42" s="15"/>
      <c r="AX42" s="15"/>
      <c r="AY42" s="15"/>
      <c r="AZ42" s="15"/>
      <c r="BA42" s="15"/>
      <c r="BB42" s="15"/>
      <c r="BC42" s="15"/>
      <c r="BD42" s="15"/>
      <c r="BE42" s="15"/>
      <c r="BF42" s="15"/>
      <c r="BG42" s="15"/>
      <c r="BH42" s="15"/>
      <c r="BI42" s="15"/>
      <c r="BJ42" s="15"/>
      <c r="BK42" s="15"/>
    </row>
    <row r="43" spans="1:63" x14ac:dyDescent="0.25">
      <c r="B43" s="97"/>
      <c r="D43" s="2"/>
      <c r="E43" s="2"/>
      <c r="F43" s="2"/>
      <c r="G43" s="2"/>
      <c r="H43" s="2"/>
      <c r="I43" s="2"/>
      <c r="J43" s="97"/>
      <c r="L43" s="2"/>
      <c r="N43" s="2"/>
      <c r="O43" s="2"/>
      <c r="P43" s="2"/>
      <c r="Q43" s="2"/>
      <c r="R43" s="97"/>
      <c r="T43" s="2"/>
      <c r="V43" s="2"/>
      <c r="X43" s="2"/>
      <c r="Y43" s="2"/>
      <c r="Z43" s="97"/>
      <c r="AB43" s="2"/>
      <c r="AD43" s="2"/>
      <c r="AF43" s="2"/>
      <c r="AG43" s="2"/>
      <c r="AH43" s="97"/>
      <c r="AI43" s="2"/>
      <c r="AJ43" s="2"/>
      <c r="AK43" s="2"/>
      <c r="AL43" s="2"/>
      <c r="AM43" s="6"/>
      <c r="AN43" s="6"/>
      <c r="AO43" s="109"/>
      <c r="AP43" s="15"/>
      <c r="AQ43" s="15"/>
      <c r="AR43" s="15"/>
      <c r="AS43" s="15"/>
      <c r="AT43" s="15"/>
      <c r="AU43" s="15"/>
      <c r="AV43" s="15"/>
      <c r="AW43" s="15"/>
      <c r="AX43" s="15"/>
      <c r="AY43" s="15"/>
      <c r="AZ43" s="15"/>
      <c r="BA43" s="15"/>
      <c r="BB43" s="15"/>
      <c r="BC43" s="15"/>
      <c r="BD43" s="15"/>
      <c r="BE43" s="15"/>
      <c r="BF43" s="15"/>
      <c r="BG43" s="15"/>
      <c r="BH43" s="15"/>
      <c r="BI43" s="15"/>
      <c r="BJ43" s="15"/>
      <c r="BK43" s="15"/>
    </row>
    <row r="44" spans="1:63" s="203" customFormat="1" x14ac:dyDescent="0.25">
      <c r="A44" s="202" t="s">
        <v>146</v>
      </c>
      <c r="B44" s="197">
        <f>C44+E44+G44+I44</f>
        <v>4125.7479694900012</v>
      </c>
      <c r="C44" s="48">
        <v>1414.80425696</v>
      </c>
      <c r="D44" s="48">
        <f>I44+G44+E44</f>
        <v>2710.9437125300005</v>
      </c>
      <c r="E44" s="48">
        <v>1042.8057749200007</v>
      </c>
      <c r="F44" s="48">
        <f>I44+G44</f>
        <v>1668.1379376099999</v>
      </c>
      <c r="G44" s="48">
        <v>879.69741105999992</v>
      </c>
      <c r="H44" s="48">
        <f>I44</f>
        <v>788.44052655000007</v>
      </c>
      <c r="I44" s="48">
        <v>788.44052655000007</v>
      </c>
      <c r="J44" s="197">
        <f>K44+M44+O44+Q44</f>
        <v>2795.7086331700002</v>
      </c>
      <c r="K44" s="48">
        <v>727.57452163999994</v>
      </c>
      <c r="L44" s="48">
        <f>Q44+O44+M44</f>
        <v>2068.1341115300002</v>
      </c>
      <c r="M44" s="48">
        <v>691.76991571999997</v>
      </c>
      <c r="N44" s="48">
        <f>Q44+O44</f>
        <v>1376.3641958100002</v>
      </c>
      <c r="O44" s="48">
        <v>688.93241001999979</v>
      </c>
      <c r="P44" s="48">
        <f>Q44</f>
        <v>687.43178579000028</v>
      </c>
      <c r="Q44" s="48">
        <v>687.43178579000028</v>
      </c>
      <c r="R44" s="197">
        <f>S44+U44+W44+Y44</f>
        <v>3231.804505099999</v>
      </c>
      <c r="S44" s="48">
        <v>703.76487001999988</v>
      </c>
      <c r="T44" s="48">
        <v>2528.0396350799992</v>
      </c>
      <c r="U44" s="48">
        <v>715.89270323999972</v>
      </c>
      <c r="V44" s="48">
        <f>Y44+W44</f>
        <v>1812.1469318399995</v>
      </c>
      <c r="W44" s="48">
        <v>794.93903648999981</v>
      </c>
      <c r="X44" s="48">
        <f>Y44</f>
        <v>1017.2078953499997</v>
      </c>
      <c r="Y44" s="48">
        <v>1017.2078953499997</v>
      </c>
      <c r="Z44" s="197">
        <f>AA44+AC44+AE44+AG44</f>
        <v>3644.3236986600009</v>
      </c>
      <c r="AA44" s="48">
        <v>1009.7199312400002</v>
      </c>
      <c r="AB44" s="48">
        <f>AG44+AE44+AC44</f>
        <v>2634.6037674200006</v>
      </c>
      <c r="AC44" s="48">
        <v>940.78152961000012</v>
      </c>
      <c r="AD44" s="48">
        <f>AG44+AE44</f>
        <v>1693.8222378100004</v>
      </c>
      <c r="AE44" s="48">
        <v>869.18767035000019</v>
      </c>
      <c r="AF44" s="48">
        <f>AG44</f>
        <v>824.63456746000008</v>
      </c>
      <c r="AG44" s="48">
        <v>824.63456746000008</v>
      </c>
      <c r="AH44" s="197">
        <v>3178.8957993099998</v>
      </c>
      <c r="AI44" s="48">
        <v>829.36336693000032</v>
      </c>
      <c r="AJ44" s="48">
        <v>2349.5324323799996</v>
      </c>
      <c r="AK44" s="48">
        <v>792.17892211000014</v>
      </c>
      <c r="AL44" s="48">
        <v>1557.35351027</v>
      </c>
      <c r="AM44" s="48">
        <v>782.22267918000023</v>
      </c>
      <c r="AN44" s="175">
        <v>775.13083109000002</v>
      </c>
      <c r="AO44" s="175">
        <v>775.13083109000002</v>
      </c>
    </row>
    <row r="45" spans="1:63" x14ac:dyDescent="0.25">
      <c r="A45" s="19" t="s">
        <v>81</v>
      </c>
      <c r="B45" s="104">
        <f>I45+G45+E45+C45</f>
        <v>-3118.867969279971</v>
      </c>
      <c r="C45" s="3">
        <v>-1264.7926614671096</v>
      </c>
      <c r="D45" s="3">
        <f>E45+G45+I45</f>
        <v>-1854.0753078128614</v>
      </c>
      <c r="E45" s="3">
        <v>-905.02335361547091</v>
      </c>
      <c r="F45" s="3">
        <f>I45+G45</f>
        <v>-949.05195419739039</v>
      </c>
      <c r="G45" s="3">
        <v>-508.22951911031976</v>
      </c>
      <c r="H45" s="3">
        <f>I45</f>
        <v>-440.82243508707069</v>
      </c>
      <c r="I45" s="3">
        <v>-440.82243508707069</v>
      </c>
      <c r="J45" s="104">
        <f>Q45+O45+M45+K45</f>
        <v>-811.56079029013949</v>
      </c>
      <c r="K45" s="3">
        <v>-310.715336917939</v>
      </c>
      <c r="L45" s="3">
        <f>M45+O45+Q45</f>
        <v>-500.84545337220061</v>
      </c>
      <c r="M45" s="3">
        <v>-172.93408813024158</v>
      </c>
      <c r="N45" s="3">
        <f>Q45+O45</f>
        <v>-327.91136524195895</v>
      </c>
      <c r="O45" s="3">
        <v>-134.61336498608017</v>
      </c>
      <c r="P45" s="3">
        <f>Q45</f>
        <v>-193.2980002558788</v>
      </c>
      <c r="Q45" s="3">
        <v>-193.2980002558788</v>
      </c>
      <c r="R45" s="104">
        <f>Y45+W45+U45+S45</f>
        <v>-1058.3539437613538</v>
      </c>
      <c r="S45" s="3">
        <v>-173.52478090218167</v>
      </c>
      <c r="T45" s="3">
        <v>-884.82916285917202</v>
      </c>
      <c r="U45" s="3">
        <v>-138.8710787120188</v>
      </c>
      <c r="V45" s="3">
        <f>Y45+W45</f>
        <v>-745.95808414715339</v>
      </c>
      <c r="W45" s="3">
        <v>-195.69385407269442</v>
      </c>
      <c r="X45" s="3">
        <f>Y45</f>
        <v>-550.26423007445896</v>
      </c>
      <c r="Y45" s="3">
        <v>-550.26423007445896</v>
      </c>
      <c r="Z45" s="104">
        <f>AG45+AE45+AC45+AA45</f>
        <v>-2023.5841369392317</v>
      </c>
      <c r="AA45" s="3">
        <v>-605.64846565085008</v>
      </c>
      <c r="AB45" s="3">
        <f>AG45+AE45+AC45</f>
        <v>-1417.9356712883816</v>
      </c>
      <c r="AC45" s="3">
        <v>-532.30671392580575</v>
      </c>
      <c r="AD45" s="3">
        <f>AG45+AE45</f>
        <v>-885.62895736257587</v>
      </c>
      <c r="AE45" s="3">
        <v>-471.89952209369602</v>
      </c>
      <c r="AF45" s="3">
        <f>AG45</f>
        <v>-413.72943526887991</v>
      </c>
      <c r="AG45" s="3">
        <v>-413.72943526887991</v>
      </c>
      <c r="AH45" s="104">
        <v>-1380.0865450822366</v>
      </c>
      <c r="AI45" s="3">
        <v>-390.57118468933618</v>
      </c>
      <c r="AJ45" s="3">
        <v>-989.51536039290033</v>
      </c>
      <c r="AK45" s="3">
        <v>-344.31304438422649</v>
      </c>
      <c r="AL45" s="3">
        <v>-645.20231600867396</v>
      </c>
      <c r="AM45" s="3">
        <v>-342.41431801079943</v>
      </c>
      <c r="AN45" s="105">
        <v>-302.78799799787447</v>
      </c>
      <c r="AO45" s="105">
        <v>-302.78799799787447</v>
      </c>
    </row>
    <row r="46" spans="1:63" x14ac:dyDescent="0.25">
      <c r="A46" s="15" t="s">
        <v>147</v>
      </c>
      <c r="B46" s="97">
        <f t="shared" ref="B46" si="95">SUM(B44:B45)</f>
        <v>1006.8800002100302</v>
      </c>
      <c r="C46" s="2">
        <v>150.01159549289036</v>
      </c>
      <c r="D46" s="2">
        <f t="shared" ref="D46" si="96">SUM(D44:D45)</f>
        <v>856.86840471713913</v>
      </c>
      <c r="E46" s="2">
        <v>137.78242130452975</v>
      </c>
      <c r="F46" s="2">
        <f t="shared" ref="F46" si="97">SUM(F44:F45)</f>
        <v>719.08598341260949</v>
      </c>
      <c r="G46" s="2">
        <v>371.46789194968017</v>
      </c>
      <c r="H46" s="2">
        <f t="shared" ref="H46" si="98">SUM(H44:H45)</f>
        <v>347.61809146292939</v>
      </c>
      <c r="I46" s="2">
        <v>347.61809146292939</v>
      </c>
      <c r="J46" s="97">
        <f t="shared" ref="J46" si="99">SUM(J44:J45)</f>
        <v>1984.1478428798607</v>
      </c>
      <c r="K46" s="2">
        <v>416.85918472206095</v>
      </c>
      <c r="L46" s="2">
        <f t="shared" ref="L46" si="100">SUM(L44:L45)</f>
        <v>1567.2886581577995</v>
      </c>
      <c r="M46" s="2">
        <v>518.83582758975842</v>
      </c>
      <c r="N46" s="2">
        <f t="shared" ref="N46" si="101">SUM(N44:N45)</f>
        <v>1048.4528305680412</v>
      </c>
      <c r="O46" s="2">
        <v>554.31904503391956</v>
      </c>
      <c r="P46" s="2">
        <f t="shared" ref="P46" si="102">SUM(P44:P45)</f>
        <v>494.13378553412144</v>
      </c>
      <c r="Q46" s="2">
        <v>494.13378553412144</v>
      </c>
      <c r="R46" s="97">
        <f t="shared" ref="R46" si="103">SUM(R44:R45)</f>
        <v>2173.4505613386455</v>
      </c>
      <c r="S46" s="2">
        <v>530.24008911781823</v>
      </c>
      <c r="T46" s="2">
        <v>1643.2104722208273</v>
      </c>
      <c r="U46" s="2">
        <v>577.02162452798098</v>
      </c>
      <c r="V46" s="2">
        <f t="shared" ref="V46" si="104">SUM(V44:V45)</f>
        <v>1066.1888476928461</v>
      </c>
      <c r="W46" s="2">
        <v>599.24518241730539</v>
      </c>
      <c r="X46" s="2">
        <f t="shared" ref="X46" si="105">SUM(X44:X45)</f>
        <v>466.94366527554075</v>
      </c>
      <c r="Y46" s="2">
        <v>466.94366527554075</v>
      </c>
      <c r="Z46" s="97">
        <f t="shared" ref="Z46:AD46" si="106">SUM(Z44:Z45)</f>
        <v>1620.7395617207692</v>
      </c>
      <c r="AA46" s="2">
        <v>404.07146558915008</v>
      </c>
      <c r="AB46" s="2">
        <f t="shared" si="106"/>
        <v>1216.668096131619</v>
      </c>
      <c r="AC46" s="2">
        <v>408.47481568419437</v>
      </c>
      <c r="AD46" s="2">
        <f t="shared" si="106"/>
        <v>808.19328044742451</v>
      </c>
      <c r="AE46" s="2">
        <v>397.28814825630417</v>
      </c>
      <c r="AF46" s="2">
        <f t="shared" ref="AF46" si="107">SUM(AF44:AF45)</f>
        <v>410.90513219112017</v>
      </c>
      <c r="AG46" s="2">
        <v>410.90513219112017</v>
      </c>
      <c r="AH46" s="97">
        <v>1798.8092542277632</v>
      </c>
      <c r="AI46" s="2">
        <v>438.79218224066415</v>
      </c>
      <c r="AJ46" s="2">
        <v>1360.0170719870994</v>
      </c>
      <c r="AK46" s="2">
        <v>447.86587772577366</v>
      </c>
      <c r="AL46" s="2">
        <v>912.15119426132605</v>
      </c>
      <c r="AM46" s="2">
        <v>439.80836116920079</v>
      </c>
      <c r="AN46" s="98">
        <v>472.34283309212555</v>
      </c>
      <c r="AO46" s="98">
        <v>472.34283309212555</v>
      </c>
    </row>
    <row r="47" spans="1:63" x14ac:dyDescent="0.25">
      <c r="A47" s="15" t="s">
        <v>148</v>
      </c>
      <c r="B47" s="97">
        <v>150724.08576568999</v>
      </c>
      <c r="C47" s="2">
        <v>155053.68415809012</v>
      </c>
      <c r="D47" s="2">
        <v>149280.88630155663</v>
      </c>
      <c r="E47" s="2">
        <v>152243.37317409305</v>
      </c>
      <c r="F47" s="2">
        <v>147799.64286528842</v>
      </c>
      <c r="G47" s="2">
        <v>149255.77641103353</v>
      </c>
      <c r="H47" s="2">
        <f>I47</f>
        <v>146343.50931954331</v>
      </c>
      <c r="I47" s="2">
        <v>146343.50931954331</v>
      </c>
      <c r="J47" s="97">
        <v>142040.71501153582</v>
      </c>
      <c r="K47" s="2">
        <v>144649.97363559011</v>
      </c>
      <c r="L47" s="2">
        <v>141170.96213685104</v>
      </c>
      <c r="M47" s="2">
        <v>142936.72145644308</v>
      </c>
      <c r="N47" s="2">
        <v>140288.08247705502</v>
      </c>
      <c r="O47" s="2">
        <v>141055.51175852999</v>
      </c>
      <c r="P47" s="2">
        <f>Q47</f>
        <v>139520.65319558006</v>
      </c>
      <c r="Q47" s="2">
        <v>139520.65319558006</v>
      </c>
      <c r="R47" s="97">
        <v>134666.30796112827</v>
      </c>
      <c r="S47" s="2">
        <v>138237.08826818637</v>
      </c>
      <c r="T47" s="2">
        <v>133476.04785877556</v>
      </c>
      <c r="U47" s="2">
        <v>135953.30199732669</v>
      </c>
      <c r="V47" s="2">
        <v>132237.42078950003</v>
      </c>
      <c r="W47" s="2">
        <v>133289.23432212317</v>
      </c>
      <c r="X47" s="2">
        <f>Y47</f>
        <v>131185.60725687689</v>
      </c>
      <c r="Y47" s="2">
        <v>131185.60725687689</v>
      </c>
      <c r="Z47" s="97">
        <v>127192.19977722329</v>
      </c>
      <c r="AA47" s="2">
        <v>129792.96885459001</v>
      </c>
      <c r="AB47" s="2">
        <v>126325.27675143439</v>
      </c>
      <c r="AC47" s="2">
        <v>127808.55486801994</v>
      </c>
      <c r="AD47" s="2">
        <v>125583.6376931416</v>
      </c>
      <c r="AE47" s="2">
        <v>126260.61450019659</v>
      </c>
      <c r="AF47" s="2">
        <f>AG47</f>
        <v>124906.66088608665</v>
      </c>
      <c r="AG47" s="2">
        <v>124906.66088608665</v>
      </c>
      <c r="AH47" s="97">
        <v>121916.02161346999</v>
      </c>
      <c r="AI47" s="2">
        <v>124006.90574824993</v>
      </c>
      <c r="AJ47" s="2">
        <v>121219.06023521002</v>
      </c>
      <c r="AK47" s="2">
        <v>122135.49247618677</v>
      </c>
      <c r="AL47" s="2">
        <v>120760.84411472167</v>
      </c>
      <c r="AM47" s="2">
        <v>121148.37292626333</v>
      </c>
      <c r="AN47" s="98">
        <v>120373.31530317999</v>
      </c>
      <c r="AO47" s="98">
        <v>120373.31530317999</v>
      </c>
    </row>
    <row r="48" spans="1:63" ht="15.75" thickBot="1" x14ac:dyDescent="0.3">
      <c r="A48" s="42" t="s">
        <v>149</v>
      </c>
      <c r="B48" s="114">
        <f>(B46/365*365)/B47</f>
        <v>6.6802860013713272E-3</v>
      </c>
      <c r="C48" s="52">
        <f>(C46/92*365)/C47</f>
        <v>3.8383783187184843E-3</v>
      </c>
      <c r="D48" s="52">
        <f>(D46/273*365)/D47</f>
        <v>7.6743242003565436E-3</v>
      </c>
      <c r="E48" s="52">
        <f>(E46/92*365)/E47</f>
        <v>3.5905456426697205E-3</v>
      </c>
      <c r="F48" s="52">
        <f>(F46/181*365)/F47</f>
        <v>9.8111909536761112E-3</v>
      </c>
      <c r="G48" s="52">
        <f>(G46/91*365)/G47</f>
        <v>9.9825525575791222E-3</v>
      </c>
      <c r="H48" s="52">
        <f>(H46/90*365)/H47</f>
        <v>9.6333926157655281E-3</v>
      </c>
      <c r="I48" s="52">
        <f>(I46/90*365)/I47</f>
        <v>9.6333926157655281E-3</v>
      </c>
      <c r="J48" s="114">
        <f>(J46/365*365)/J47</f>
        <v>1.3968866903540428E-2</v>
      </c>
      <c r="K48" s="52">
        <f>(K46/92*365)/K47</f>
        <v>1.1433417255714675E-2</v>
      </c>
      <c r="L48" s="52">
        <f>(L46/273*365)/L47</f>
        <v>1.484341512769138E-2</v>
      </c>
      <c r="M48" s="52">
        <f>(M46/92*365)/M47</f>
        <v>1.4400951202668912E-2</v>
      </c>
      <c r="N48" s="52">
        <f>(N46/181*365)/N47</f>
        <v>1.5071011699848211E-2</v>
      </c>
      <c r="O48" s="52">
        <f>(O46/91*365)/O47</f>
        <v>1.5762358879099391E-2</v>
      </c>
      <c r="P48" s="52">
        <f>(P46/90*365)/P47</f>
        <v>1.4363371824968555E-2</v>
      </c>
      <c r="Q48" s="52">
        <f>(Q46/90*365)/Q47</f>
        <v>1.4363371824968555E-2</v>
      </c>
      <c r="R48" s="114">
        <f>(R46/366*366)/R47</f>
        <v>1.6139527356508629E-2</v>
      </c>
      <c r="S48" s="52">
        <f>(S46/92*366)/S47</f>
        <v>1.5259532911455653E-2</v>
      </c>
      <c r="T48" s="52">
        <f>(T46/273*366)/T47</f>
        <v>1.6504725031887133E-2</v>
      </c>
      <c r="U48" s="52">
        <f>(U46/92*366)/U47</f>
        <v>1.6884787026340546E-2</v>
      </c>
      <c r="V48" s="52">
        <f>(V46/182*366)/V47</f>
        <v>1.6213973650940992E-2</v>
      </c>
      <c r="W48" s="52">
        <f>(W46/91*366)/W47</f>
        <v>1.8082112675611488E-2</v>
      </c>
      <c r="X48" s="52">
        <f>(X46/91*366)/X47</f>
        <v>1.4315878079236762E-2</v>
      </c>
      <c r="Y48" s="52">
        <f>(Y46/91*366)/Y47</f>
        <v>1.4315878079236762E-2</v>
      </c>
      <c r="Z48" s="114">
        <f>(Z46/365*365)/Z47</f>
        <v>1.2742444619713231E-2</v>
      </c>
      <c r="AA48" s="52">
        <v>1.2351282454363732E-2</v>
      </c>
      <c r="AB48" s="52">
        <f>(AB46/273*365)/AB47</f>
        <v>1.2876922415685992E-2</v>
      </c>
      <c r="AC48" s="52">
        <v>1.267974145755757E-2</v>
      </c>
      <c r="AD48" s="52">
        <f>(AD46/181*365)/AD47</f>
        <v>1.2977662214355114E-2</v>
      </c>
      <c r="AE48" s="52">
        <v>1.26208667933398E-2</v>
      </c>
      <c r="AF48" s="52">
        <f>(AF46/90*365)/AF47</f>
        <v>1.334155104173162E-2</v>
      </c>
      <c r="AG48" s="52">
        <v>1.3341551041731618E-2</v>
      </c>
      <c r="AH48" s="114">
        <v>1.4754494367695315E-2</v>
      </c>
      <c r="AI48" s="52">
        <v>1.4038414052291484E-2</v>
      </c>
      <c r="AJ48" s="52">
        <v>1.5000428480232269E-2</v>
      </c>
      <c r="AK48" s="52">
        <v>1.4548262366484354E-2</v>
      </c>
      <c r="AL48" s="52">
        <v>1.523193159246965E-2</v>
      </c>
      <c r="AM48" s="52">
        <v>1.4561206733370207E-2</v>
      </c>
      <c r="AN48" s="115">
        <v>1.5913930725001926E-2</v>
      </c>
      <c r="AO48" s="115">
        <v>1.5913930725001926E-2</v>
      </c>
    </row>
    <row r="49" spans="1:63" x14ac:dyDescent="0.25">
      <c r="B49" s="97"/>
      <c r="D49" s="2"/>
      <c r="E49" s="2"/>
      <c r="F49" s="2"/>
      <c r="G49" s="2"/>
      <c r="H49" s="2"/>
      <c r="I49" s="2"/>
      <c r="J49" s="97"/>
      <c r="L49" s="2"/>
      <c r="N49" s="2"/>
      <c r="O49" s="2"/>
      <c r="P49" s="2"/>
      <c r="Q49" s="2"/>
      <c r="R49" s="97"/>
      <c r="T49" s="2"/>
      <c r="V49" s="2"/>
      <c r="X49" s="2"/>
      <c r="Y49" s="2"/>
      <c r="Z49" s="97"/>
      <c r="AB49" s="2"/>
      <c r="AD49" s="2"/>
      <c r="AF49" s="2"/>
      <c r="AG49" s="2"/>
      <c r="AH49" s="97"/>
      <c r="AI49" s="2"/>
      <c r="AJ49" s="2"/>
      <c r="AK49" s="2"/>
      <c r="AL49" s="2"/>
      <c r="AM49" s="6"/>
      <c r="AN49" s="6"/>
      <c r="AO49" s="109"/>
      <c r="AP49" s="15"/>
      <c r="AQ49" s="15"/>
      <c r="AR49" s="15"/>
      <c r="AS49" s="15"/>
      <c r="AT49" s="15"/>
      <c r="AU49" s="15"/>
      <c r="AV49" s="15"/>
      <c r="AW49" s="15"/>
      <c r="AX49" s="15"/>
      <c r="AY49" s="15"/>
      <c r="AZ49" s="15"/>
      <c r="BA49" s="15"/>
      <c r="BB49" s="15"/>
      <c r="BC49" s="15"/>
      <c r="BD49" s="15"/>
      <c r="BE49" s="15"/>
      <c r="BF49" s="15"/>
      <c r="BG49" s="15"/>
      <c r="BH49" s="15"/>
      <c r="BI49" s="15"/>
      <c r="BJ49" s="15"/>
      <c r="BK49" s="15"/>
    </row>
    <row r="50" spans="1:63" x14ac:dyDescent="0.25">
      <c r="A50" s="15" t="s">
        <v>89</v>
      </c>
      <c r="B50" s="97">
        <f>C50+E50+G50+I50</f>
        <v>-1269.3020365500001</v>
      </c>
      <c r="C50" s="2">
        <v>-479</v>
      </c>
      <c r="D50" s="2">
        <f>I50+G50+E50</f>
        <v>-790.30203654999991</v>
      </c>
      <c r="E50" s="2">
        <v>-358.42382792999996</v>
      </c>
      <c r="F50" s="2">
        <f>I50+G50</f>
        <v>-431.87820862000001</v>
      </c>
      <c r="G50" s="2">
        <v>-228.87820862000001</v>
      </c>
      <c r="H50" s="2">
        <f>I50</f>
        <v>-203</v>
      </c>
      <c r="I50" s="2">
        <v>-203</v>
      </c>
      <c r="J50" s="97">
        <f>K50+M50+O50+Q50</f>
        <v>-418.51362763000009</v>
      </c>
      <c r="K50" s="2">
        <v>-149.21742387999996</v>
      </c>
      <c r="L50" s="2">
        <f>Q50+O50+M50</f>
        <v>-269.29620375000007</v>
      </c>
      <c r="M50" s="2">
        <v>-98.647674710000032</v>
      </c>
      <c r="N50" s="2">
        <f>Q50+O50</f>
        <v>-170.64852904000006</v>
      </c>
      <c r="O50" s="2">
        <v>-85.998909300000022</v>
      </c>
      <c r="P50" s="2">
        <f>Q50</f>
        <v>-84.649619740000034</v>
      </c>
      <c r="Q50" s="2">
        <v>-84.649619740000034</v>
      </c>
      <c r="R50" s="97">
        <f>S50+U50+W50+Y50</f>
        <v>-372.82273823000003</v>
      </c>
      <c r="S50" s="2">
        <v>-74.893136349999992</v>
      </c>
      <c r="T50" s="2">
        <f>Y50+W50+U50</f>
        <v>-297.92960188000001</v>
      </c>
      <c r="U50" s="2">
        <v>-59.804079190000003</v>
      </c>
      <c r="V50" s="2">
        <f>Y50+W50</f>
        <v>-238.12552269000003</v>
      </c>
      <c r="W50" s="2">
        <v>-70.309296160000017</v>
      </c>
      <c r="X50" s="2">
        <f>Y50</f>
        <v>-167.81622652999999</v>
      </c>
      <c r="Y50" s="2">
        <v>-167.81622652999999</v>
      </c>
      <c r="Z50" s="97">
        <f>AA50+AC50+AE50+AG50</f>
        <v>-621.11509245999991</v>
      </c>
      <c r="AA50" s="2">
        <v>-178.12037195000002</v>
      </c>
      <c r="AB50" s="2">
        <f>AG50+AE50+AC50</f>
        <v>-442.99472050999992</v>
      </c>
      <c r="AC50" s="2">
        <v>-163.84864740999996</v>
      </c>
      <c r="AD50" s="2">
        <f>AG50+AE50</f>
        <v>-279.14607309999997</v>
      </c>
      <c r="AE50" s="2">
        <v>-150.44912184999993</v>
      </c>
      <c r="AF50" s="2">
        <f>AG50</f>
        <v>-128.69695125000001</v>
      </c>
      <c r="AG50" s="2">
        <v>-128.69695125000001</v>
      </c>
      <c r="AH50" s="97">
        <v>-549.06309117000001</v>
      </c>
      <c r="AI50" s="2">
        <v>-144.81498698000001</v>
      </c>
      <c r="AJ50" s="2">
        <v>-404.24810418999999</v>
      </c>
      <c r="AK50" s="2">
        <v>-136.71157248999995</v>
      </c>
      <c r="AL50" s="2">
        <v>-267.53653170000001</v>
      </c>
      <c r="AM50" s="2">
        <v>-146.17214830999998</v>
      </c>
      <c r="AN50" s="2">
        <v>-121.36438339000003</v>
      </c>
      <c r="AO50" s="98">
        <v>-121.36438339000003</v>
      </c>
      <c r="AP50" s="15"/>
      <c r="AQ50" s="15"/>
      <c r="AR50" s="15"/>
      <c r="AS50" s="15"/>
      <c r="AT50" s="15"/>
      <c r="AU50" s="15"/>
      <c r="AV50" s="15"/>
      <c r="AW50" s="15"/>
      <c r="AX50" s="15"/>
      <c r="AY50" s="15"/>
      <c r="AZ50" s="15"/>
      <c r="BA50" s="15"/>
      <c r="BB50" s="15"/>
      <c r="BC50" s="15"/>
      <c r="BD50" s="15"/>
      <c r="BE50" s="15"/>
      <c r="BF50" s="15"/>
      <c r="BG50" s="15"/>
      <c r="BH50" s="15"/>
      <c r="BI50" s="15"/>
      <c r="BJ50" s="15"/>
      <c r="BK50" s="15"/>
    </row>
    <row r="51" spans="1:63" x14ac:dyDescent="0.25">
      <c r="A51" s="19" t="s">
        <v>81</v>
      </c>
      <c r="B51" s="104">
        <f>I51+G51+E51+C51</f>
        <v>1206.6980159679795</v>
      </c>
      <c r="C51" s="3">
        <v>485</v>
      </c>
      <c r="D51" s="3">
        <f>E51+G51+I51</f>
        <v>721.69801596797936</v>
      </c>
      <c r="E51" s="18">
        <v>352.88064443016646</v>
      </c>
      <c r="F51" s="3">
        <f>I51+G51</f>
        <v>368.81737153781296</v>
      </c>
      <c r="G51" s="18">
        <v>197.81737153781293</v>
      </c>
      <c r="H51" s="18">
        <f>I51</f>
        <v>171</v>
      </c>
      <c r="I51" s="18">
        <v>171</v>
      </c>
      <c r="J51" s="104">
        <f>Q51+O51+M51+K51</f>
        <v>250.1731172695583</v>
      </c>
      <c r="K51" s="3">
        <v>110.74314815810014</v>
      </c>
      <c r="L51" s="3">
        <f>M51+O51+Q51</f>
        <v>139.42996911145818</v>
      </c>
      <c r="M51" s="3">
        <v>51.38932730197758</v>
      </c>
      <c r="N51" s="3">
        <f>Q51+O51</f>
        <v>88.040641809480604</v>
      </c>
      <c r="O51" s="18">
        <v>36.016169539529237</v>
      </c>
      <c r="P51" s="18">
        <f>Q51</f>
        <v>52.02447226995136</v>
      </c>
      <c r="Q51" s="18">
        <v>52.02447226995136</v>
      </c>
      <c r="R51" s="104">
        <f>Y51+W51+U51+S51</f>
        <v>268.74815643184422</v>
      </c>
      <c r="S51" s="3">
        <v>42.326252604195716</v>
      </c>
      <c r="T51" s="3">
        <f>Y51+W51+U51</f>
        <v>226.42190382764852</v>
      </c>
      <c r="U51" s="3">
        <v>29.281257417599804</v>
      </c>
      <c r="V51" s="3">
        <f>Y51+W51</f>
        <v>197.1406464100487</v>
      </c>
      <c r="W51" s="18">
        <v>45.587788727266627</v>
      </c>
      <c r="X51" s="18">
        <f>Y51</f>
        <v>151.55285768278208</v>
      </c>
      <c r="Y51" s="18">
        <v>151.55285768278208</v>
      </c>
      <c r="Z51" s="104">
        <f>AG51+AE51+AC51+AA51</f>
        <v>570.28747970901384</v>
      </c>
      <c r="AA51" s="3">
        <v>168.20753010368179</v>
      </c>
      <c r="AB51" s="3">
        <f>AG51+AE51+AC51</f>
        <v>402.07994960533205</v>
      </c>
      <c r="AC51" s="3">
        <v>150.73065921403992</v>
      </c>
      <c r="AD51" s="3">
        <f>AG51+AE51</f>
        <v>251.34929039129213</v>
      </c>
      <c r="AE51" s="18">
        <v>135.79711957772039</v>
      </c>
      <c r="AF51" s="18">
        <f>AG51</f>
        <v>115.55217081357173</v>
      </c>
      <c r="AG51" s="18">
        <v>115.55217081357173</v>
      </c>
      <c r="AH51" s="104">
        <v>512.52487241445533</v>
      </c>
      <c r="AI51" s="3">
        <v>143.38755655078208</v>
      </c>
      <c r="AJ51" s="3">
        <v>369.13731586367328</v>
      </c>
      <c r="AK51" s="3">
        <v>129.05502921853446</v>
      </c>
      <c r="AL51" s="3">
        <v>240.08228664513879</v>
      </c>
      <c r="AM51" s="3">
        <v>132.58308222531483</v>
      </c>
      <c r="AN51" s="3">
        <v>107.49920441982397</v>
      </c>
      <c r="AO51" s="105">
        <v>107.49920441982397</v>
      </c>
      <c r="AP51" s="15"/>
      <c r="AQ51" s="15"/>
      <c r="AR51" s="15"/>
      <c r="AS51" s="15"/>
      <c r="AT51" s="15"/>
      <c r="AU51" s="15"/>
      <c r="AV51" s="15"/>
      <c r="AW51" s="15"/>
      <c r="AX51" s="15"/>
      <c r="AY51" s="15"/>
      <c r="AZ51" s="15"/>
      <c r="BA51" s="15"/>
      <c r="BB51" s="15"/>
      <c r="BC51" s="15"/>
      <c r="BD51" s="15"/>
      <c r="BE51" s="15"/>
      <c r="BF51" s="15"/>
      <c r="BG51" s="15"/>
      <c r="BH51" s="15"/>
      <c r="BI51" s="15"/>
      <c r="BJ51" s="15"/>
      <c r="BK51" s="15"/>
    </row>
    <row r="52" spans="1:63" x14ac:dyDescent="0.25">
      <c r="A52" s="15" t="s">
        <v>90</v>
      </c>
      <c r="B52" s="97">
        <f t="shared" ref="B52:C52" si="108">SUM(B50:B51)</f>
        <v>-62.604020582020667</v>
      </c>
      <c r="C52" s="2">
        <f t="shared" si="108"/>
        <v>6</v>
      </c>
      <c r="D52" s="2">
        <f t="shared" ref="D52:E52" si="109">SUM(D50:D51)</f>
        <v>-68.604020582020553</v>
      </c>
      <c r="E52" s="48">
        <f t="shared" si="109"/>
        <v>-5.5431834998335034</v>
      </c>
      <c r="F52" s="2">
        <f t="shared" ref="F52:G52" si="110">SUM(F50:F51)</f>
        <v>-63.060837082187049</v>
      </c>
      <c r="G52" s="48">
        <f t="shared" si="110"/>
        <v>-31.060837082187078</v>
      </c>
      <c r="H52" s="48">
        <f t="shared" ref="H52:I52" si="111">SUM(H50:H51)</f>
        <v>-32</v>
      </c>
      <c r="I52" s="48">
        <f t="shared" si="111"/>
        <v>-32</v>
      </c>
      <c r="J52" s="97">
        <f t="shared" ref="J52:K52" si="112">SUM(J50:J51)</f>
        <v>-168.34051036044178</v>
      </c>
      <c r="K52" s="2">
        <f t="shared" si="112"/>
        <v>-38.474275721899815</v>
      </c>
      <c r="L52" s="2">
        <f t="shared" ref="L52:M52" si="113">SUM(L50:L51)</f>
        <v>-129.8662346385419</v>
      </c>
      <c r="M52" s="2">
        <f t="shared" si="113"/>
        <v>-47.258347408022452</v>
      </c>
      <c r="N52" s="2">
        <f t="shared" ref="N52:O52" si="114">SUM(N50:N51)</f>
        <v>-82.607887230519452</v>
      </c>
      <c r="O52" s="48">
        <f t="shared" si="114"/>
        <v>-49.982739760470785</v>
      </c>
      <c r="P52" s="48">
        <f t="shared" ref="P52:Q52" si="115">SUM(P50:P51)</f>
        <v>-32.625147470048674</v>
      </c>
      <c r="Q52" s="48">
        <f t="shared" si="115"/>
        <v>-32.625147470048674</v>
      </c>
      <c r="R52" s="97">
        <f t="shared" ref="R52:S52" si="116">SUM(R50:R51)</f>
        <v>-104.0745817981558</v>
      </c>
      <c r="S52" s="2">
        <f t="shared" si="116"/>
        <v>-32.566883745804276</v>
      </c>
      <c r="T52" s="2">
        <f t="shared" ref="T52:U52" si="117">SUM(T50:T51)</f>
        <v>-71.507698052351486</v>
      </c>
      <c r="U52" s="2">
        <f t="shared" si="117"/>
        <v>-30.522821772400199</v>
      </c>
      <c r="V52" s="2">
        <f t="shared" ref="V52:W52" si="118">SUM(V50:V51)</f>
        <v>-40.984876279951322</v>
      </c>
      <c r="W52" s="48">
        <f t="shared" si="118"/>
        <v>-24.721507432733389</v>
      </c>
      <c r="X52" s="48">
        <f t="shared" ref="X52:Y52" si="119">SUM(X50:X51)</f>
        <v>-16.263368847217919</v>
      </c>
      <c r="Y52" s="48">
        <f t="shared" si="119"/>
        <v>-16.263368847217919</v>
      </c>
      <c r="Z52" s="97">
        <f t="shared" ref="Z52:AD52" si="120">SUM(Z50:Z51)</f>
        <v>-50.827612750986077</v>
      </c>
      <c r="AA52" s="2">
        <f t="shared" si="120"/>
        <v>-9.91284184631823</v>
      </c>
      <c r="AB52" s="2">
        <f t="shared" si="120"/>
        <v>-40.914770904667876</v>
      </c>
      <c r="AC52" s="2">
        <f t="shared" si="120"/>
        <v>-13.117988195960038</v>
      </c>
      <c r="AD52" s="2">
        <f t="shared" si="120"/>
        <v>-27.796782708707838</v>
      </c>
      <c r="AE52" s="48">
        <f t="shared" ref="AE52:AG52" si="121">SUM(AE50:AE51)</f>
        <v>-14.652002272279532</v>
      </c>
      <c r="AF52" s="48">
        <f t="shared" si="121"/>
        <v>-13.144780436428277</v>
      </c>
      <c r="AG52" s="48">
        <f t="shared" si="121"/>
        <v>-13.144780436428277</v>
      </c>
      <c r="AH52" s="97">
        <v>-36.538218755544676</v>
      </c>
      <c r="AI52" s="2">
        <v>-1.4274304292179352</v>
      </c>
      <c r="AJ52" s="2">
        <v>-35.110788326326713</v>
      </c>
      <c r="AK52" s="2">
        <v>-7.6565432714654946</v>
      </c>
      <c r="AL52" s="2">
        <v>-27.454245054861218</v>
      </c>
      <c r="AM52" s="2">
        <v>-13.589066084685157</v>
      </c>
      <c r="AN52" s="2">
        <v>-13.865178970176061</v>
      </c>
      <c r="AO52" s="98">
        <v>-13.865178970176061</v>
      </c>
      <c r="AP52" s="15"/>
      <c r="AQ52" s="15"/>
      <c r="AR52" s="15"/>
      <c r="AS52" s="15"/>
      <c r="AT52" s="15"/>
      <c r="AU52" s="15"/>
      <c r="AV52" s="15"/>
      <c r="AW52" s="15"/>
      <c r="AX52" s="15"/>
      <c r="AY52" s="15"/>
      <c r="AZ52" s="15"/>
      <c r="BA52" s="15"/>
      <c r="BB52" s="15"/>
      <c r="BC52" s="15"/>
      <c r="BD52" s="15"/>
      <c r="BE52" s="15"/>
      <c r="BF52" s="15"/>
      <c r="BG52" s="15"/>
      <c r="BH52" s="15"/>
      <c r="BI52" s="15"/>
      <c r="BJ52" s="15"/>
      <c r="BK52" s="15"/>
    </row>
    <row r="53" spans="1:63" x14ac:dyDescent="0.25">
      <c r="A53" s="15" t="s">
        <v>91</v>
      </c>
      <c r="B53" s="97">
        <v>61065.037956452492</v>
      </c>
      <c r="C53" s="2">
        <v>58590</v>
      </c>
      <c r="D53" s="2">
        <v>61890.060908858904</v>
      </c>
      <c r="E53" s="2">
        <v>60528.280366240011</v>
      </c>
      <c r="F53" s="2">
        <v>62571</v>
      </c>
      <c r="G53" s="2">
        <v>62702</v>
      </c>
      <c r="H53" s="2">
        <f>I53</f>
        <v>62440</v>
      </c>
      <c r="I53" s="2">
        <v>62440</v>
      </c>
      <c r="J53" s="97">
        <v>56383.145765514157</v>
      </c>
      <c r="K53" s="2">
        <v>59621.155869673334</v>
      </c>
      <c r="L53" s="2">
        <v>55303.809064127774</v>
      </c>
      <c r="M53" s="2">
        <v>58328.568399406671</v>
      </c>
      <c r="N53" s="2">
        <v>53791.429396488333</v>
      </c>
      <c r="O53" s="2">
        <v>57864.569692689976</v>
      </c>
      <c r="P53" s="2">
        <f>Q53</f>
        <v>49718.289100286682</v>
      </c>
      <c r="Q53" s="2">
        <v>49718.289100286682</v>
      </c>
      <c r="R53" s="97">
        <v>43025.769543780829</v>
      </c>
      <c r="S53" s="2">
        <v>46990.903664999998</v>
      </c>
      <c r="T53" s="2">
        <v>41704.058170041106</v>
      </c>
      <c r="U53" s="2">
        <v>44383.363111633342</v>
      </c>
      <c r="V53" s="2">
        <v>40364.405699245006</v>
      </c>
      <c r="W53" s="2">
        <v>41206.083450093327</v>
      </c>
      <c r="X53" s="2">
        <f>Y53</f>
        <v>39554</v>
      </c>
      <c r="Y53" s="2">
        <v>39554</v>
      </c>
      <c r="Z53" s="97">
        <v>39231.396063304172</v>
      </c>
      <c r="AA53" s="2">
        <v>39006.323357536676</v>
      </c>
      <c r="AB53" s="2">
        <v>39306.420298559999</v>
      </c>
      <c r="AC53" s="2">
        <v>39200.700319099997</v>
      </c>
      <c r="AD53" s="2">
        <v>39359.28028829</v>
      </c>
      <c r="AE53" s="2">
        <v>39844.385691000003</v>
      </c>
      <c r="AF53" s="2">
        <f>AG53</f>
        <v>38874.174885579996</v>
      </c>
      <c r="AG53" s="2">
        <v>38874.174885579996</v>
      </c>
      <c r="AH53" s="97">
        <v>50170.911367910827</v>
      </c>
      <c r="AI53" s="2">
        <v>50256.754417619995</v>
      </c>
      <c r="AJ53" s="2">
        <v>50142.297018007775</v>
      </c>
      <c r="AK53" s="2">
        <v>50670.846430986661</v>
      </c>
      <c r="AL53" s="2">
        <v>49878.022311518333</v>
      </c>
      <c r="AM53" s="2">
        <v>51778.758775433329</v>
      </c>
      <c r="AN53" s="2">
        <v>47977.285847603336</v>
      </c>
      <c r="AO53" s="98">
        <v>47977.285847603336</v>
      </c>
      <c r="AP53" s="15"/>
      <c r="AQ53" s="15"/>
      <c r="AR53" s="15"/>
      <c r="AS53" s="15"/>
      <c r="AT53" s="15"/>
      <c r="AU53" s="15"/>
      <c r="AV53" s="15"/>
      <c r="AW53" s="15"/>
      <c r="AX53" s="15"/>
      <c r="AY53" s="15"/>
      <c r="AZ53" s="15"/>
      <c r="BA53" s="15"/>
      <c r="BB53" s="15"/>
      <c r="BC53" s="15"/>
      <c r="BD53" s="15"/>
      <c r="BE53" s="15"/>
      <c r="BF53" s="15"/>
      <c r="BG53" s="15"/>
      <c r="BH53" s="15"/>
      <c r="BI53" s="15"/>
      <c r="BJ53" s="15"/>
      <c r="BK53" s="15"/>
    </row>
    <row r="54" spans="1:63" ht="15.75" thickBot="1" x14ac:dyDescent="0.3">
      <c r="A54" s="42" t="s">
        <v>92</v>
      </c>
      <c r="B54" s="114">
        <f>(B52/365*365)/B53</f>
        <v>-1.0252023527221204E-3</v>
      </c>
      <c r="C54" s="52">
        <f>(C52/92*365)/C53</f>
        <v>4.0628687192502058E-4</v>
      </c>
      <c r="D54" s="52">
        <f>(D52/273*365)/D53</f>
        <v>-1.482036418682108E-3</v>
      </c>
      <c r="E54" s="52">
        <f>(E52/92*365)/E53</f>
        <v>-3.6333393056231511E-4</v>
      </c>
      <c r="F54" s="52">
        <f>(F52/181*365)/F53</f>
        <v>-2.032361340058977E-3</v>
      </c>
      <c r="G54" s="52">
        <f>(G52/91*365)/G53</f>
        <v>-1.9869330517172075E-3</v>
      </c>
      <c r="H54" s="52">
        <f>(H52/90*365)/H53</f>
        <v>-2.0784397466011816E-3</v>
      </c>
      <c r="I54" s="52">
        <f>(I52/90*365)/I53</f>
        <v>-2.0784397466011816E-3</v>
      </c>
      <c r="J54" s="114">
        <f>(J52/365*365)/J53</f>
        <v>-2.9856530364682941E-3</v>
      </c>
      <c r="K54" s="52">
        <f>(K52/92*365)/K53</f>
        <v>-2.5602071062461331E-3</v>
      </c>
      <c r="L54" s="52">
        <f>(L52/273*365)/L53</f>
        <v>-3.1395790443638901E-3</v>
      </c>
      <c r="M54" s="52">
        <f>(M52/92*365)/M53</f>
        <v>-3.2144172522901165E-3</v>
      </c>
      <c r="N54" s="52">
        <f>(N52/181*365)/N53</f>
        <v>-3.0968681782784602E-3</v>
      </c>
      <c r="O54" s="52">
        <f>(O52/91*365)/O53</f>
        <v>-3.4646454813902897E-3</v>
      </c>
      <c r="P54" s="52">
        <f>(P52/90*365)/P53</f>
        <v>-2.6612560582301341E-3</v>
      </c>
      <c r="Q54" s="52">
        <f>(Q52/90*365)/Q53</f>
        <v>-2.6612560582301341E-3</v>
      </c>
      <c r="R54" s="114">
        <f>(R52/366*366)/R53</f>
        <v>-2.4188894911514559E-3</v>
      </c>
      <c r="S54" s="52">
        <f>(S52/92*366)/S53</f>
        <v>-2.7571199773736605E-3</v>
      </c>
      <c r="T54" s="52">
        <f>(T52/273*366)/T53</f>
        <v>-2.2987562249229972E-3</v>
      </c>
      <c r="U54" s="52">
        <f>(U52/92*366)/U53</f>
        <v>-2.735884326305716E-3</v>
      </c>
      <c r="V54" s="52">
        <f>(V52/182*366)/V53</f>
        <v>-2.0419013828628699E-3</v>
      </c>
      <c r="W54" s="52">
        <f>(W52/91*366)/W53</f>
        <v>-2.4129776780422167E-3</v>
      </c>
      <c r="X54" s="52">
        <f>(X52/91*366)/X53</f>
        <v>-1.6537116869806468E-3</v>
      </c>
      <c r="Y54" s="52">
        <f>(Y52/91*366)/Y53</f>
        <v>-1.6537116869806468E-3</v>
      </c>
      <c r="Z54" s="114">
        <f>(Z52/365*365)/Z53</f>
        <v>-1.2955851142531388E-3</v>
      </c>
      <c r="AA54" s="52">
        <f>(AA52/92*365)/AA53</f>
        <v>-1.0082499235309073E-3</v>
      </c>
      <c r="AB54" s="52">
        <f>(AB52/273*365)/AB53</f>
        <v>-1.3917039102792402E-3</v>
      </c>
      <c r="AC54" s="52">
        <f>(AC52/92*365)/AC53</f>
        <v>-1.3276342482542707E-3</v>
      </c>
      <c r="AD54" s="52">
        <f>(AD52/181*365)/AD53</f>
        <v>-1.4241694757179198E-3</v>
      </c>
      <c r="AE54" s="52">
        <f>(AE52/91*365)/AE53</f>
        <v>-1.4749636387636385E-3</v>
      </c>
      <c r="AF54" s="52">
        <f>(AF52/90*365)/AF53</f>
        <v>-1.3713316741107036E-3</v>
      </c>
      <c r="AG54" s="52">
        <f>(AG52/90*365)/AG53</f>
        <v>-1.3713316741107036E-3</v>
      </c>
      <c r="AH54" s="114">
        <v>-7.2827496569883752E-4</v>
      </c>
      <c r="AI54" s="52">
        <v>-1.1268485476362584E-4</v>
      </c>
      <c r="AJ54" s="52">
        <v>-9.3619555092367952E-4</v>
      </c>
      <c r="AK54" s="52">
        <v>-5.9948679242900836E-4</v>
      </c>
      <c r="AL54" s="52">
        <v>-1.1099785091650128E-3</v>
      </c>
      <c r="AM54" s="52">
        <v>-1.0526632160432565E-3</v>
      </c>
      <c r="AN54" s="52">
        <v>-1.1720338616045024E-3</v>
      </c>
      <c r="AO54" s="115">
        <v>-1.1720338616045024E-3</v>
      </c>
      <c r="AP54" s="15"/>
      <c r="AQ54" s="15"/>
      <c r="AR54" s="15"/>
      <c r="AS54" s="15"/>
      <c r="AT54" s="15"/>
      <c r="AU54" s="15"/>
      <c r="AV54" s="15"/>
      <c r="AW54" s="15"/>
      <c r="AX54" s="15"/>
      <c r="AY54" s="15"/>
      <c r="AZ54" s="15"/>
      <c r="BA54" s="15"/>
      <c r="BB54" s="15"/>
      <c r="BC54" s="15"/>
      <c r="BD54" s="15"/>
      <c r="BE54" s="15"/>
      <c r="BF54" s="15"/>
      <c r="BG54" s="15"/>
      <c r="BH54" s="15"/>
      <c r="BI54" s="15"/>
      <c r="BJ54" s="15"/>
      <c r="BK54" s="15"/>
    </row>
    <row r="55" spans="1:63" x14ac:dyDescent="0.25">
      <c r="A55" s="41"/>
      <c r="B55" s="186"/>
      <c r="C55" s="185"/>
      <c r="D55" s="185"/>
      <c r="E55" s="185"/>
      <c r="F55" s="185"/>
      <c r="G55" s="185"/>
      <c r="H55" s="185"/>
      <c r="I55" s="185"/>
      <c r="J55" s="186"/>
      <c r="K55" s="185"/>
      <c r="L55" s="185"/>
      <c r="M55" s="185"/>
      <c r="N55" s="185"/>
      <c r="O55" s="185"/>
      <c r="P55" s="185"/>
      <c r="Q55" s="185"/>
      <c r="R55" s="186"/>
      <c r="S55" s="185"/>
      <c r="T55" s="185"/>
      <c r="U55" s="185"/>
      <c r="V55" s="185"/>
      <c r="W55" s="185"/>
      <c r="X55" s="185"/>
      <c r="Y55" s="185"/>
      <c r="Z55" s="186"/>
      <c r="AA55" s="185"/>
      <c r="AB55" s="185"/>
      <c r="AC55" s="185"/>
      <c r="AD55" s="185"/>
      <c r="AE55" s="185"/>
      <c r="AF55" s="185"/>
      <c r="AG55" s="185"/>
      <c r="AH55" s="186"/>
      <c r="AI55" s="185"/>
      <c r="AJ55" s="185"/>
      <c r="AK55" s="185"/>
      <c r="AL55" s="185"/>
      <c r="AM55" s="185"/>
      <c r="AN55" s="185"/>
      <c r="AO55" s="193"/>
      <c r="AP55" s="15"/>
      <c r="AQ55" s="15"/>
      <c r="AR55" s="15"/>
      <c r="AS55" s="15"/>
      <c r="AT55" s="15"/>
      <c r="AU55" s="15"/>
      <c r="AV55" s="15"/>
      <c r="AW55" s="15"/>
      <c r="AX55" s="15"/>
      <c r="AY55" s="15"/>
      <c r="AZ55" s="15"/>
      <c r="BA55" s="15"/>
      <c r="BB55" s="15"/>
      <c r="BC55" s="15"/>
      <c r="BD55" s="15"/>
      <c r="BE55" s="15"/>
      <c r="BF55" s="15"/>
      <c r="BG55" s="15"/>
      <c r="BH55" s="15"/>
      <c r="BI55" s="15"/>
      <c r="BJ55" s="15"/>
      <c r="BK55" s="15"/>
    </row>
    <row r="56" spans="1:63" x14ac:dyDescent="0.25">
      <c r="A56" s="15" t="s">
        <v>93</v>
      </c>
      <c r="B56" s="97">
        <f>C56+E56+G56+I56</f>
        <v>-103.28312803999995</v>
      </c>
      <c r="C56" s="2">
        <v>-49.514758049999962</v>
      </c>
      <c r="D56" s="2">
        <f>I56+G56+E56</f>
        <v>-53.768369989999989</v>
      </c>
      <c r="E56" s="2">
        <v>-28.541572549999991</v>
      </c>
      <c r="F56" s="2">
        <f>I56+G56</f>
        <v>-25.226797439999999</v>
      </c>
      <c r="G56" s="2">
        <v>-13.54391339</v>
      </c>
      <c r="H56" s="2">
        <f>I56</f>
        <v>-11.682884049999998</v>
      </c>
      <c r="I56" s="2">
        <v>-11.682884049999998</v>
      </c>
      <c r="J56" s="97">
        <f>K56+M56+O56+Q56</f>
        <v>-26.895137950000006</v>
      </c>
      <c r="K56" s="2">
        <v>-8.5233657699999981</v>
      </c>
      <c r="L56" s="2">
        <f>Q56+O56+M56</f>
        <v>-18.371772180000008</v>
      </c>
      <c r="M56" s="2">
        <v>-6.2480814700000078</v>
      </c>
      <c r="N56" s="2">
        <f>Q56+O56</f>
        <v>-12.123690710000002</v>
      </c>
      <c r="O56" s="2">
        <v>-5.54331716</v>
      </c>
      <c r="P56" s="2">
        <f>Q56</f>
        <v>-6.5803735500000027</v>
      </c>
      <c r="Q56" s="2">
        <v>-6.5803735500000027</v>
      </c>
      <c r="R56" s="97">
        <f>S56+U56+W56+Y56</f>
        <v>-42.260730080000009</v>
      </c>
      <c r="S56" s="2">
        <v>-6.271419429999999</v>
      </c>
      <c r="T56" s="2">
        <f>Y56+W56+U56</f>
        <v>-35.989310650000007</v>
      </c>
      <c r="U56" s="2">
        <v>-5.8710196799999981</v>
      </c>
      <c r="V56" s="2">
        <f>Y56+W56</f>
        <v>-30.118290970000011</v>
      </c>
      <c r="W56" s="2">
        <v>-9.1165552100000067</v>
      </c>
      <c r="X56" s="2">
        <f>Y56</f>
        <v>-21.001735760000003</v>
      </c>
      <c r="Y56" s="2">
        <v>-21.001735760000003</v>
      </c>
      <c r="Z56" s="97">
        <f>AA56+AC56+AE56+AG56</f>
        <v>-66.476978499999973</v>
      </c>
      <c r="AA56" s="2">
        <v>-20.271918019999998</v>
      </c>
      <c r="AB56" s="2">
        <f>AG56+AE56+AC56</f>
        <v>-46.205060479999986</v>
      </c>
      <c r="AC56" s="2">
        <v>-17.339757219999978</v>
      </c>
      <c r="AD56" s="2">
        <f>AG56+AE56</f>
        <v>-28.865303260000005</v>
      </c>
      <c r="AE56" s="2">
        <v>-15.12231308</v>
      </c>
      <c r="AF56" s="2">
        <f>AG56</f>
        <v>-13.742990180000003</v>
      </c>
      <c r="AG56" s="2">
        <v>-13.742990180000003</v>
      </c>
      <c r="AH56" s="186"/>
      <c r="AI56" s="185"/>
      <c r="AJ56" s="185"/>
      <c r="AK56" s="185"/>
      <c r="AL56" s="185"/>
      <c r="AM56" s="185"/>
      <c r="AN56" s="185"/>
      <c r="AO56" s="193"/>
      <c r="AP56" s="15"/>
      <c r="AQ56" s="15"/>
      <c r="AR56" s="15"/>
      <c r="AS56" s="15"/>
      <c r="AT56" s="15"/>
      <c r="AU56" s="15"/>
      <c r="AV56" s="15"/>
      <c r="AW56" s="15"/>
      <c r="AX56" s="15"/>
      <c r="AY56" s="15"/>
      <c r="AZ56" s="15"/>
      <c r="BA56" s="15"/>
      <c r="BB56" s="15"/>
      <c r="BC56" s="15"/>
      <c r="BD56" s="15"/>
      <c r="BE56" s="15"/>
      <c r="BF56" s="15"/>
      <c r="BG56" s="15"/>
      <c r="BH56" s="15"/>
      <c r="BI56" s="15"/>
      <c r="BJ56" s="15"/>
      <c r="BK56" s="15"/>
    </row>
    <row r="57" spans="1:63" x14ac:dyDescent="0.25">
      <c r="A57" s="19" t="s">
        <v>81</v>
      </c>
      <c r="B57" s="104">
        <f>I57+G57+E57+C57</f>
        <v>358.84200986607448</v>
      </c>
      <c r="C57" s="3">
        <v>153.04732212746401</v>
      </c>
      <c r="D57" s="3">
        <f>E57+G57+I57</f>
        <v>205.79468773861043</v>
      </c>
      <c r="E57" s="18">
        <v>105.79916743519372</v>
      </c>
      <c r="F57" s="3">
        <f>I57+G57</f>
        <v>99.995520303416697</v>
      </c>
      <c r="G57" s="18">
        <v>54.085271403933497</v>
      </c>
      <c r="H57" s="18">
        <f>I57</f>
        <v>45.910248899483193</v>
      </c>
      <c r="I57" s="18">
        <v>45.910248899483193</v>
      </c>
      <c r="J57" s="104">
        <f>Q57+O57+M57+K57</f>
        <v>70.858359165749249</v>
      </c>
      <c r="K57" s="3">
        <v>30.429123620056718</v>
      </c>
      <c r="L57" s="3">
        <f>M57+O57+Q57</f>
        <v>40.429235545692535</v>
      </c>
      <c r="M57" s="3">
        <v>14.613930717072119</v>
      </c>
      <c r="N57" s="3">
        <f>Q57+O57</f>
        <v>25.815304828620416</v>
      </c>
      <c r="O57" s="18">
        <v>9.7467165912918894</v>
      </c>
      <c r="P57" s="18">
        <f>Q57</f>
        <v>16.068588237328527</v>
      </c>
      <c r="Q57" s="18">
        <v>16.068588237328527</v>
      </c>
      <c r="R57" s="104">
        <f>Y57+W57+U57+S57</f>
        <v>87.869641172781243</v>
      </c>
      <c r="S57" s="3">
        <v>13.189986195566066</v>
      </c>
      <c r="T57" s="3">
        <f>Y57+W57+U57</f>
        <v>74.679654977215179</v>
      </c>
      <c r="U57" s="3">
        <v>9.4742072526045042</v>
      </c>
      <c r="V57" s="3">
        <f>Y57+W57</f>
        <v>65.205447724610679</v>
      </c>
      <c r="W57" s="18">
        <v>15.296611685433367</v>
      </c>
      <c r="X57" s="18">
        <f>Y57</f>
        <v>49.908836039177309</v>
      </c>
      <c r="Y57" s="18">
        <v>49.908836039177309</v>
      </c>
      <c r="Z57" s="104">
        <f>AG57+AE57+AC57+AA57</f>
        <v>172.7474149492574</v>
      </c>
      <c r="AA57" s="3">
        <v>53.083019386738897</v>
      </c>
      <c r="AB57" s="3">
        <f>AG57+AE57+AC57</f>
        <v>119.66439556251852</v>
      </c>
      <c r="AC57" s="3">
        <v>45.573376720941482</v>
      </c>
      <c r="AD57" s="3">
        <f>AG57+AE57</f>
        <v>74.091018841577039</v>
      </c>
      <c r="AE57" s="18">
        <v>39.303883986802376</v>
      </c>
      <c r="AF57" s="18">
        <f>AG57</f>
        <v>34.787134854774656</v>
      </c>
      <c r="AG57" s="18">
        <v>34.787134854774656</v>
      </c>
      <c r="AH57" s="186"/>
      <c r="AI57" s="185"/>
      <c r="AJ57" s="185"/>
      <c r="AK57" s="185"/>
      <c r="AL57" s="185"/>
      <c r="AM57" s="185"/>
      <c r="AN57" s="185"/>
      <c r="AO57" s="193"/>
      <c r="AP57" s="15"/>
      <c r="AQ57" s="15"/>
      <c r="AR57" s="15"/>
      <c r="AS57" s="15"/>
      <c r="AT57" s="15"/>
      <c r="AU57" s="15"/>
      <c r="AV57" s="15"/>
      <c r="AW57" s="15"/>
      <c r="AX57" s="15"/>
      <c r="AY57" s="15"/>
      <c r="AZ57" s="15"/>
      <c r="BA57" s="15"/>
      <c r="BB57" s="15"/>
      <c r="BC57" s="15"/>
      <c r="BD57" s="15"/>
      <c r="BE57" s="15"/>
      <c r="BF57" s="15"/>
      <c r="BG57" s="15"/>
      <c r="BH57" s="15"/>
      <c r="BI57" s="15"/>
      <c r="BJ57" s="15"/>
      <c r="BK57" s="15"/>
    </row>
    <row r="58" spans="1:63" x14ac:dyDescent="0.25">
      <c r="A58" s="15" t="s">
        <v>94</v>
      </c>
      <c r="B58" s="97">
        <f>SUM(B56:B57)</f>
        <v>255.55888182607453</v>
      </c>
      <c r="C58" s="2">
        <v>103.53256407746406</v>
      </c>
      <c r="D58" s="2">
        <f t="shared" ref="D58:E58" si="122">SUM(D56:D57)</f>
        <v>152.02631774861044</v>
      </c>
      <c r="E58" s="48">
        <f t="shared" si="122"/>
        <v>77.257594885193726</v>
      </c>
      <c r="F58" s="2">
        <f t="shared" ref="F58:G58" si="123">SUM(F56:F57)</f>
        <v>74.768722863416698</v>
      </c>
      <c r="G58" s="48">
        <f t="shared" si="123"/>
        <v>40.541358013933497</v>
      </c>
      <c r="H58" s="48">
        <f t="shared" ref="H58:I58" si="124">SUM(H56:H57)</f>
        <v>34.227364849483195</v>
      </c>
      <c r="I58" s="48">
        <f t="shared" si="124"/>
        <v>34.227364849483195</v>
      </c>
      <c r="J58" s="97">
        <f>SUM(J56:J57)</f>
        <v>43.963221215749243</v>
      </c>
      <c r="K58" s="2">
        <f>SUM(K56:K57)</f>
        <v>21.90575785005672</v>
      </c>
      <c r="L58" s="2">
        <f t="shared" ref="L58:M58" si="125">SUM(L56:L57)</f>
        <v>22.057463365692527</v>
      </c>
      <c r="M58" s="2">
        <f t="shared" si="125"/>
        <v>8.3658492470721111</v>
      </c>
      <c r="N58" s="2">
        <f t="shared" ref="N58:Q58" si="126">SUM(N56:N57)</f>
        <v>13.691614118620414</v>
      </c>
      <c r="O58" s="48">
        <f t="shared" si="126"/>
        <v>4.2033994312918894</v>
      </c>
      <c r="P58" s="48">
        <f t="shared" si="126"/>
        <v>9.488214687328524</v>
      </c>
      <c r="Q58" s="48">
        <f t="shared" si="126"/>
        <v>9.488214687328524</v>
      </c>
      <c r="R58" s="97">
        <f>SUM(R56:R57)</f>
        <v>45.608911092781234</v>
      </c>
      <c r="S58" s="2">
        <f>SUM(S56:S57)</f>
        <v>6.9185667655660668</v>
      </c>
      <c r="T58" s="2">
        <f t="shared" ref="T58:Y58" si="127">SUM(T56:T57)</f>
        <v>38.690344327215172</v>
      </c>
      <c r="U58" s="2">
        <f t="shared" si="127"/>
        <v>3.6031875726045062</v>
      </c>
      <c r="V58" s="2">
        <f t="shared" si="127"/>
        <v>35.087156754610668</v>
      </c>
      <c r="W58" s="2">
        <f t="shared" si="127"/>
        <v>6.1800564754333607</v>
      </c>
      <c r="X58" s="2">
        <f t="shared" si="127"/>
        <v>28.907100279177307</v>
      </c>
      <c r="Y58" s="2">
        <f t="shared" si="127"/>
        <v>28.907100279177307</v>
      </c>
      <c r="Z58" s="97">
        <f>SUM(Z56:Z57)</f>
        <v>106.27043644925743</v>
      </c>
      <c r="AA58" s="2">
        <f>SUM(AA56:AA57)</f>
        <v>32.811101366738896</v>
      </c>
      <c r="AB58" s="2">
        <f t="shared" ref="AB58:AG58" si="128">SUM(AB56:AB57)</f>
        <v>73.459335082518535</v>
      </c>
      <c r="AC58" s="2">
        <f t="shared" si="128"/>
        <v>28.233619500941504</v>
      </c>
      <c r="AD58" s="2">
        <f t="shared" si="128"/>
        <v>45.225715581577035</v>
      </c>
      <c r="AE58" s="2">
        <f t="shared" si="128"/>
        <v>24.181570906802378</v>
      </c>
      <c r="AF58" s="2">
        <f t="shared" si="128"/>
        <v>21.044144674774653</v>
      </c>
      <c r="AG58" s="2">
        <f t="shared" si="128"/>
        <v>21.044144674774653</v>
      </c>
      <c r="AH58" s="186"/>
      <c r="AI58" s="185"/>
      <c r="AJ58" s="185"/>
      <c r="AK58" s="185"/>
      <c r="AL58" s="185"/>
      <c r="AM58" s="185"/>
      <c r="AN58" s="185"/>
      <c r="AO58" s="193"/>
      <c r="AP58" s="15"/>
      <c r="AQ58" s="15"/>
      <c r="AR58" s="15"/>
      <c r="AS58" s="15"/>
      <c r="AT58" s="15"/>
      <c r="AU58" s="15"/>
      <c r="AV58" s="15"/>
      <c r="AW58" s="15"/>
      <c r="AX58" s="15"/>
      <c r="AY58" s="15"/>
      <c r="AZ58" s="15"/>
      <c r="BA58" s="15"/>
      <c r="BB58" s="15"/>
      <c r="BC58" s="15"/>
      <c r="BD58" s="15"/>
      <c r="BE58" s="15"/>
      <c r="BF58" s="15"/>
      <c r="BG58" s="15"/>
      <c r="BH58" s="15"/>
      <c r="BI58" s="15"/>
      <c r="BJ58" s="15"/>
      <c r="BK58" s="15"/>
    </row>
    <row r="59" spans="1:63" x14ac:dyDescent="0.25">
      <c r="A59" s="15" t="s">
        <v>95</v>
      </c>
      <c r="B59" s="97">
        <v>17308.668961773332</v>
      </c>
      <c r="C59" s="2">
        <v>18334.290832660001</v>
      </c>
      <c r="D59" s="2">
        <v>16966.795004811105</v>
      </c>
      <c r="E59" s="2">
        <v>17737.890436743332</v>
      </c>
      <c r="F59" s="2">
        <v>16581</v>
      </c>
      <c r="G59" s="2">
        <v>16834.5</v>
      </c>
      <c r="H59" s="2">
        <f>I59</f>
        <v>16358.2</v>
      </c>
      <c r="I59" s="2">
        <v>16358.2</v>
      </c>
      <c r="J59" s="97">
        <v>15384.752115156662</v>
      </c>
      <c r="K59" s="2">
        <v>15944.103837486664</v>
      </c>
      <c r="L59" s="2">
        <v>15198.301541046656</v>
      </c>
      <c r="M59" s="2">
        <v>15825.745939296663</v>
      </c>
      <c r="N59" s="2">
        <v>14884.579341921652</v>
      </c>
      <c r="O59" s="2">
        <v>15043.94836276332</v>
      </c>
      <c r="P59" s="2">
        <f>Q59</f>
        <v>14725.210321079987</v>
      </c>
      <c r="Q59" s="2">
        <v>14725.210321079987</v>
      </c>
      <c r="R59" s="97">
        <v>13332.968978630839</v>
      </c>
      <c r="S59" s="2">
        <v>13983.016902849991</v>
      </c>
      <c r="T59" s="2">
        <v>13116.286337224456</v>
      </c>
      <c r="U59" s="2">
        <v>13791.701639396681</v>
      </c>
      <c r="V59" s="2">
        <v>12778.578686138342</v>
      </c>
      <c r="W59" s="2">
        <v>13211.389294623346</v>
      </c>
      <c r="X59" s="2">
        <f>Y59</f>
        <v>12345.768077653336</v>
      </c>
      <c r="Y59" s="2">
        <v>12345.768077653336</v>
      </c>
      <c r="Z59" s="97">
        <v>11255.298132318334</v>
      </c>
      <c r="AA59" s="2">
        <v>11645.494317149996</v>
      </c>
      <c r="AB59" s="2">
        <v>11125.232737374447</v>
      </c>
      <c r="AC59" s="2">
        <v>11300.268492106672</v>
      </c>
      <c r="AD59" s="2">
        <v>11037.714860008335</v>
      </c>
      <c r="AE59" s="2">
        <v>10990.288089056665</v>
      </c>
      <c r="AF59" s="2">
        <f>AG59</f>
        <v>11085.141630960004</v>
      </c>
      <c r="AG59" s="2">
        <v>11085.141630960004</v>
      </c>
      <c r="AH59" s="186"/>
      <c r="AI59" s="185"/>
      <c r="AJ59" s="185"/>
      <c r="AK59" s="185"/>
      <c r="AL59" s="185"/>
      <c r="AM59" s="185"/>
      <c r="AN59" s="185"/>
      <c r="AO59" s="193"/>
      <c r="AP59" s="15"/>
      <c r="AQ59" s="15"/>
      <c r="AR59" s="15"/>
      <c r="AS59" s="15"/>
      <c r="AT59" s="15"/>
      <c r="AU59" s="15"/>
      <c r="AV59" s="15"/>
      <c r="AW59" s="15"/>
      <c r="AX59" s="15"/>
      <c r="AY59" s="15"/>
      <c r="AZ59" s="15"/>
      <c r="BA59" s="15"/>
      <c r="BB59" s="15"/>
      <c r="BC59" s="15"/>
      <c r="BD59" s="15"/>
      <c r="BE59" s="15"/>
      <c r="BF59" s="15"/>
      <c r="BG59" s="15"/>
      <c r="BH59" s="15"/>
      <c r="BI59" s="15"/>
      <c r="BJ59" s="15"/>
      <c r="BK59" s="15"/>
    </row>
    <row r="60" spans="1:63" ht="15.75" thickBot="1" x14ac:dyDescent="0.3">
      <c r="A60" s="42" t="s">
        <v>96</v>
      </c>
      <c r="B60" s="114">
        <f>(B58/365*365)/B59</f>
        <v>1.4764791122326234E-2</v>
      </c>
      <c r="C60" s="52">
        <f>(C58/92*365)/C59</f>
        <v>2.2403604163737996E-2</v>
      </c>
      <c r="D60" s="52">
        <f>(D58/273*365)/D59</f>
        <v>1.1979789341434099E-2</v>
      </c>
      <c r="E60" s="52">
        <f>(E58/92*365)/E59</f>
        <v>1.7280020486958196E-2</v>
      </c>
      <c r="F60" s="52">
        <f>(F58/181*365)/F59</f>
        <v>9.093342158300436E-3</v>
      </c>
      <c r="G60" s="52">
        <f>(G58/91*365)/G59</f>
        <v>9.6593864673413833E-3</v>
      </c>
      <c r="H60" s="52">
        <f>(H58/90*365)/H59</f>
        <v>8.4857123441056167E-3</v>
      </c>
      <c r="I60" s="52">
        <f>(I58/90*365)/I59</f>
        <v>8.4857123441056167E-3</v>
      </c>
      <c r="J60" s="114">
        <f>(J58/365*365)/J59</f>
        <v>2.857583982288399E-3</v>
      </c>
      <c r="K60" s="52">
        <f>(K58/92*365)/K59</f>
        <v>5.4508371304714202E-3</v>
      </c>
      <c r="L60" s="52">
        <f>(L58/273*365)/L59</f>
        <v>1.9403975926990901E-3</v>
      </c>
      <c r="M60" s="52">
        <f>(M58/92*365)/M59</f>
        <v>2.0972532785265841E-3</v>
      </c>
      <c r="N60" s="52">
        <f>(N58/181*365)/N59</f>
        <v>1.8549507133314544E-3</v>
      </c>
      <c r="O60" s="52">
        <f>(O58/91*365)/O59</f>
        <v>1.1207023928266372E-3</v>
      </c>
      <c r="P60" s="52">
        <f>(P58/90*365)/P59</f>
        <v>2.6132042224492171E-3</v>
      </c>
      <c r="Q60" s="52">
        <f>(Q58/90*365)/Q59</f>
        <v>2.6132042224492171E-3</v>
      </c>
      <c r="R60" s="114">
        <f>(R58/366*366)/R59</f>
        <v>3.4207618097574551E-3</v>
      </c>
      <c r="S60" s="52">
        <f>(S58/92*366)/S59</f>
        <v>1.9683780423176067E-3</v>
      </c>
      <c r="T60" s="52">
        <f>(T58/273*366)/T59</f>
        <v>3.954669041373148E-3</v>
      </c>
      <c r="U60" s="52">
        <f>(U58/92*366)/U59</f>
        <v>1.0393510895602036E-3</v>
      </c>
      <c r="V60" s="52">
        <f>(V58/182*366)/V59</f>
        <v>5.521731985491567E-3</v>
      </c>
      <c r="W60" s="52">
        <f>(W58/91*366)/W59</f>
        <v>1.8814108618305288E-3</v>
      </c>
      <c r="X60" s="52">
        <f>(X58/91*366)/X59</f>
        <v>9.4172935430733521E-3</v>
      </c>
      <c r="Y60" s="52">
        <f>(Y58/91*366)/Y59</f>
        <v>9.4172935430733521E-3</v>
      </c>
      <c r="Z60" s="114">
        <f>(Z58/365*365)/Z59</f>
        <v>9.4418144415129891E-3</v>
      </c>
      <c r="AA60" s="52">
        <f>(AA58/92*365)/AA59</f>
        <v>1.1178098129915414E-2</v>
      </c>
      <c r="AB60" s="52">
        <f>(AB58/273*365)/AB59</f>
        <v>8.8281175092695171E-3</v>
      </c>
      <c r="AC60" s="52">
        <f>(AC58/92*365)/AC59</f>
        <v>9.91249159934059E-3</v>
      </c>
      <c r="AD60" s="52">
        <f>(AD58/181*365)/AD59</f>
        <v>8.2626730093761855E-3</v>
      </c>
      <c r="AE60" s="52">
        <f>(AE58/91*365)/AE59</f>
        <v>8.8252477450717192E-3</v>
      </c>
      <c r="AF60" s="52">
        <f>(AF58/90*365)/AF59</f>
        <v>7.6991075702030551E-3</v>
      </c>
      <c r="AG60" s="52">
        <f>(AG58/90*365)/AG59</f>
        <v>7.6991075702030551E-3</v>
      </c>
      <c r="AH60" s="186"/>
      <c r="AI60" s="185"/>
      <c r="AJ60" s="185"/>
      <c r="AK60" s="185"/>
      <c r="AL60" s="185"/>
      <c r="AM60" s="185"/>
      <c r="AN60" s="185"/>
      <c r="AO60" s="193"/>
      <c r="AP60" s="15"/>
      <c r="AQ60" s="15"/>
      <c r="AR60" s="15"/>
      <c r="AS60" s="15"/>
      <c r="AT60" s="15"/>
      <c r="AU60" s="15"/>
      <c r="AV60" s="15"/>
      <c r="AW60" s="15"/>
      <c r="AX60" s="15"/>
      <c r="AY60" s="15"/>
      <c r="AZ60" s="15"/>
      <c r="BA60" s="15"/>
      <c r="BB60" s="15"/>
      <c r="BC60" s="15"/>
      <c r="BD60" s="15"/>
      <c r="BE60" s="15"/>
      <c r="BF60" s="15"/>
      <c r="BG60" s="15"/>
      <c r="BH60" s="15"/>
      <c r="BI60" s="15"/>
      <c r="BJ60" s="15"/>
      <c r="BK60" s="15"/>
    </row>
    <row r="61" spans="1:63" x14ac:dyDescent="0.25">
      <c r="A61" s="15"/>
      <c r="B61" s="167"/>
      <c r="C61" s="15"/>
      <c r="H61" s="15"/>
      <c r="I61" s="15"/>
      <c r="J61" s="167"/>
      <c r="K61" s="15"/>
      <c r="L61" s="6"/>
      <c r="M61" s="15"/>
      <c r="R61" s="167"/>
      <c r="S61" s="15"/>
      <c r="T61" s="6"/>
      <c r="U61" s="15"/>
      <c r="V61" s="6"/>
      <c r="W61" s="15"/>
      <c r="Z61" s="167"/>
      <c r="AA61" s="15"/>
      <c r="AB61" s="6"/>
      <c r="AC61" s="15"/>
      <c r="AD61" s="6"/>
      <c r="AE61" s="15"/>
      <c r="AH61" s="95"/>
      <c r="AJ61" s="6"/>
      <c r="AK61" s="6"/>
      <c r="AL61" s="6"/>
      <c r="AM61" s="6"/>
      <c r="AN61" s="6"/>
      <c r="AO61" s="109"/>
    </row>
    <row r="62" spans="1:63" s="203" customFormat="1" x14ac:dyDescent="0.25">
      <c r="A62" s="202" t="s">
        <v>97</v>
      </c>
      <c r="B62" s="197">
        <f>C62+E62+G62+I62</f>
        <v>-630.71419509000009</v>
      </c>
      <c r="C62" s="48">
        <v>-257.48850853000016</v>
      </c>
      <c r="D62" s="48">
        <f>I62+G62+E62</f>
        <v>-373.22568655999993</v>
      </c>
      <c r="E62" s="48">
        <v>-163.85137407999997</v>
      </c>
      <c r="F62" s="48">
        <f>I62+G62</f>
        <v>-209.37431247999996</v>
      </c>
      <c r="G62" s="48">
        <v>-112.82813738999998</v>
      </c>
      <c r="H62" s="48">
        <f>I62</f>
        <v>-96.546175089999991</v>
      </c>
      <c r="I62" s="48">
        <v>-96.546175089999991</v>
      </c>
      <c r="J62" s="197">
        <f>K62+M62+O62+Q62</f>
        <v>-288.44881456999997</v>
      </c>
      <c r="K62" s="48">
        <v>-76.165852629999961</v>
      </c>
      <c r="L62" s="48">
        <f>Q62+O62+M62</f>
        <v>-212.28296194000004</v>
      </c>
      <c r="M62" s="48">
        <v>-69.895308470000032</v>
      </c>
      <c r="N62" s="48">
        <f>Q62+O62</f>
        <v>-142.38765347</v>
      </c>
      <c r="O62" s="48">
        <v>-69.012582070000008</v>
      </c>
      <c r="P62" s="48">
        <f>Q62</f>
        <v>-73.375071399999996</v>
      </c>
      <c r="Q62" s="48">
        <v>-73.375071399999996</v>
      </c>
      <c r="R62" s="197">
        <f>S62+U62+W62+Y62</f>
        <v>-444.4181768200001</v>
      </c>
      <c r="S62" s="48">
        <v>-73.96422173000002</v>
      </c>
      <c r="T62" s="48">
        <f>Y62+W62+U62</f>
        <v>-370.45395509000008</v>
      </c>
      <c r="U62" s="48">
        <v>-76.556675990000016</v>
      </c>
      <c r="V62" s="48">
        <f>Y62+W62</f>
        <v>-293.89727910000005</v>
      </c>
      <c r="W62" s="48">
        <v>-128.72170130999999</v>
      </c>
      <c r="X62" s="48">
        <f>Y62</f>
        <v>-165.17557779000006</v>
      </c>
      <c r="Y62" s="48">
        <v>-165.17557779000006</v>
      </c>
      <c r="Z62" s="197">
        <f>AA62+AC62+AE62+AG62</f>
        <v>-551.53877913000008</v>
      </c>
      <c r="AA62" s="48">
        <v>-156.96161485000005</v>
      </c>
      <c r="AB62" s="48">
        <f>AG62+AE62+AC62</f>
        <v>-394.57716428000003</v>
      </c>
      <c r="AC62" s="48">
        <v>-142.99799818999995</v>
      </c>
      <c r="AD62" s="48">
        <f>AG62+AE62</f>
        <v>-251.57916609000006</v>
      </c>
      <c r="AE62" s="48">
        <v>-129.16909616000004</v>
      </c>
      <c r="AF62" s="48">
        <f>AG62</f>
        <v>-122.41006993000002</v>
      </c>
      <c r="AG62" s="48">
        <v>-122.41006993000002</v>
      </c>
      <c r="AH62" s="197">
        <v>-431.59350021</v>
      </c>
      <c r="AI62" s="48">
        <v>-115.79510139000001</v>
      </c>
      <c r="AJ62" s="48">
        <v>-315.79839881999999</v>
      </c>
      <c r="AK62" s="48">
        <v>-108.54803304000002</v>
      </c>
      <c r="AL62" s="48">
        <v>-207.25036578000001</v>
      </c>
      <c r="AM62" s="48">
        <v>-104.81928934</v>
      </c>
      <c r="AN62" s="48">
        <v>-102.43107644</v>
      </c>
      <c r="AO62" s="175">
        <v>-102.43107644</v>
      </c>
    </row>
    <row r="63" spans="1:63" x14ac:dyDescent="0.25">
      <c r="A63" s="19" t="s">
        <v>81</v>
      </c>
      <c r="B63" s="104">
        <f>I63+G63+E63+C63</f>
        <v>1376.4670343467956</v>
      </c>
      <c r="C63" s="3">
        <v>563.31625944682173</v>
      </c>
      <c r="D63" s="3">
        <f>E63+G63+I63</f>
        <v>813.15077489997384</v>
      </c>
      <c r="E63" s="18">
        <v>407.09693589535391</v>
      </c>
      <c r="F63" s="3">
        <f>I63+G63</f>
        <v>406.05383900461993</v>
      </c>
      <c r="G63" s="18">
        <v>219.88612442457878</v>
      </c>
      <c r="H63" s="18">
        <f>I63</f>
        <v>186.16771458004115</v>
      </c>
      <c r="I63" s="18">
        <v>186.16771458004115</v>
      </c>
      <c r="J63" s="104">
        <f>Q63+O63+M63+K63</f>
        <v>288.07097712391663</v>
      </c>
      <c r="K63" s="3">
        <v>123.30967825716051</v>
      </c>
      <c r="L63" s="3">
        <f>M63+O63+Q63</f>
        <v>164.76129886675614</v>
      </c>
      <c r="M63" s="3">
        <v>59.114400216903988</v>
      </c>
      <c r="N63" s="3">
        <f>Q63+O63</f>
        <v>105.64689864985215</v>
      </c>
      <c r="O63" s="18">
        <v>40.181747884305473</v>
      </c>
      <c r="P63" s="18">
        <f>Q63</f>
        <v>65.465150765546667</v>
      </c>
      <c r="Q63" s="18">
        <v>65.465150765546667</v>
      </c>
      <c r="R63" s="104">
        <f>Y63+W63+U63+S63</f>
        <v>386.43360197631864</v>
      </c>
      <c r="S63" s="3">
        <v>55.850108077077863</v>
      </c>
      <c r="T63" s="3">
        <f>Y63+W63+U63</f>
        <v>330.58349389924081</v>
      </c>
      <c r="U63" s="3">
        <v>41.255989241917625</v>
      </c>
      <c r="V63" s="3">
        <f>Y63+W63</f>
        <v>289.32750465732317</v>
      </c>
      <c r="W63" s="18">
        <v>68.509062597993136</v>
      </c>
      <c r="X63" s="18">
        <f>Y63</f>
        <v>220.81844205933004</v>
      </c>
      <c r="Y63" s="18">
        <v>220.81844205933004</v>
      </c>
      <c r="Z63" s="104">
        <f>AG63+AE63+AC63+AA63</f>
        <v>809.57304317654575</v>
      </c>
      <c r="AA63" s="3">
        <v>245.62579143569479</v>
      </c>
      <c r="AB63" s="3">
        <f>AG63+AE63+AC63</f>
        <v>563.94725174085102</v>
      </c>
      <c r="AC63" s="3">
        <v>217.81061204386515</v>
      </c>
      <c r="AD63" s="3">
        <f>AG63+AE63</f>
        <v>346.13663969698587</v>
      </c>
      <c r="AE63" s="18">
        <v>186.17565324970886</v>
      </c>
      <c r="AF63" s="18">
        <f>AG63</f>
        <v>159.96098644727701</v>
      </c>
      <c r="AG63" s="18">
        <v>159.96098644727701</v>
      </c>
      <c r="AH63" s="104">
        <v>537.76215186383138</v>
      </c>
      <c r="AI63" s="3">
        <v>152.63869985733956</v>
      </c>
      <c r="AJ63" s="3">
        <v>385.12345200649179</v>
      </c>
      <c r="AK63" s="3">
        <v>137.56166379097968</v>
      </c>
      <c r="AL63" s="3">
        <v>247.56178821551211</v>
      </c>
      <c r="AM63" s="3">
        <v>132.77615395379539</v>
      </c>
      <c r="AN63" s="3">
        <v>114.78563426171672</v>
      </c>
      <c r="AO63" s="105">
        <v>114.78563426171672</v>
      </c>
    </row>
    <row r="64" spans="1:63" x14ac:dyDescent="0.25">
      <c r="A64" s="15" t="s">
        <v>98</v>
      </c>
      <c r="B64" s="97">
        <f>SUM(B62:B63)</f>
        <v>745.75283925679548</v>
      </c>
      <c r="C64" s="2">
        <f>SUM(C62:C63)</f>
        <v>305.82775091682157</v>
      </c>
      <c r="D64" s="2">
        <f t="shared" ref="D64:E64" si="129">SUM(D62:D63)</f>
        <v>439.92508833997391</v>
      </c>
      <c r="E64" s="48">
        <f t="shared" si="129"/>
        <v>243.24556181535394</v>
      </c>
      <c r="F64" s="2">
        <f t="shared" ref="F64:G64" si="130">SUM(F62:F63)</f>
        <v>196.67952652461997</v>
      </c>
      <c r="G64" s="48">
        <f t="shared" si="130"/>
        <v>107.0579870345788</v>
      </c>
      <c r="H64" s="48">
        <f t="shared" ref="H64:I64" si="131">SUM(H62:H63)</f>
        <v>89.621539490041158</v>
      </c>
      <c r="I64" s="48">
        <f t="shared" si="131"/>
        <v>89.621539490041158</v>
      </c>
      <c r="J64" s="97">
        <f>SUM(J62:J63)</f>
        <v>-0.37783744608333336</v>
      </c>
      <c r="K64" s="2">
        <f>SUM(K62:K63)</f>
        <v>47.143825627160552</v>
      </c>
      <c r="L64" s="2">
        <f t="shared" ref="L64:M64" si="132">SUM(L62:L63)</f>
        <v>-47.5216630732439</v>
      </c>
      <c r="M64" s="2">
        <f t="shared" si="132"/>
        <v>-10.780908253096044</v>
      </c>
      <c r="N64" s="2">
        <f t="shared" ref="N64" si="133">SUM(N62:N63)</f>
        <v>-36.740754820147856</v>
      </c>
      <c r="O64" s="48">
        <f t="shared" ref="O64:Q64" si="134">SUM(O62:O63)</f>
        <v>-28.830834185694535</v>
      </c>
      <c r="P64" s="48">
        <f t="shared" si="134"/>
        <v>-7.9099206344533286</v>
      </c>
      <c r="Q64" s="48">
        <f t="shared" si="134"/>
        <v>-7.9099206344533286</v>
      </c>
      <c r="R64" s="97">
        <f>SUM(R62:R63)</f>
        <v>-57.984574843681457</v>
      </c>
      <c r="S64" s="2">
        <f>SUM(S62:S63)</f>
        <v>-18.114113652922157</v>
      </c>
      <c r="T64" s="2">
        <f t="shared" ref="T64:U64" si="135">SUM(T62:T63)</f>
        <v>-39.870461190759272</v>
      </c>
      <c r="U64" s="2">
        <f t="shared" si="135"/>
        <v>-35.300686748082391</v>
      </c>
      <c r="V64" s="2">
        <f t="shared" ref="V64:W64" si="136">SUM(V62:V63)</f>
        <v>-4.5697744426768736</v>
      </c>
      <c r="W64" s="2">
        <f t="shared" si="136"/>
        <v>-60.21263871200685</v>
      </c>
      <c r="X64" s="2">
        <f t="shared" ref="X64:Y64" si="137">SUM(X62:X63)</f>
        <v>55.642864269329976</v>
      </c>
      <c r="Y64" s="2">
        <f t="shared" si="137"/>
        <v>55.642864269329976</v>
      </c>
      <c r="Z64" s="97">
        <f>SUM(Z62:Z63)</f>
        <v>258.03426404654567</v>
      </c>
      <c r="AA64" s="2">
        <f>SUM(AA62:AA63)</f>
        <v>88.664176585694747</v>
      </c>
      <c r="AB64" s="2">
        <f t="shared" ref="AB64:AD64" si="138">SUM(AB62:AB63)</f>
        <v>169.37008746085098</v>
      </c>
      <c r="AC64" s="2">
        <f t="shared" si="138"/>
        <v>74.812613853865201</v>
      </c>
      <c r="AD64" s="2">
        <f t="shared" si="138"/>
        <v>94.557473606985809</v>
      </c>
      <c r="AE64" s="2">
        <f t="shared" ref="AE64:AG64" si="139">SUM(AE62:AE63)</f>
        <v>57.006557089708821</v>
      </c>
      <c r="AF64" s="2">
        <f t="shared" si="139"/>
        <v>37.550916517276988</v>
      </c>
      <c r="AG64" s="2">
        <f t="shared" si="139"/>
        <v>37.550916517276988</v>
      </c>
      <c r="AH64" s="97">
        <v>106.16865165383138</v>
      </c>
      <c r="AI64" s="2">
        <v>36.843598467339547</v>
      </c>
      <c r="AJ64" s="2">
        <v>69.3250531864918</v>
      </c>
      <c r="AK64" s="2">
        <v>29.013630750979658</v>
      </c>
      <c r="AL64" s="2">
        <v>40.3114224355121</v>
      </c>
      <c r="AM64" s="2">
        <v>27.956864613795389</v>
      </c>
      <c r="AN64" s="2">
        <v>12.354557821716725</v>
      </c>
      <c r="AO64" s="98">
        <v>12.354557821716725</v>
      </c>
    </row>
    <row r="65" spans="1:55" x14ac:dyDescent="0.25">
      <c r="A65" s="15" t="s">
        <v>99</v>
      </c>
      <c r="B65" s="97">
        <v>66727.023861784997</v>
      </c>
      <c r="C65" s="2">
        <v>67751.85286919662</v>
      </c>
      <c r="D65" s="2">
        <v>66385.41419264779</v>
      </c>
      <c r="E65" s="2">
        <v>68178.171236729948</v>
      </c>
      <c r="F65" s="2">
        <v>65489.03567060671</v>
      </c>
      <c r="G65" s="2">
        <v>66592.75851748338</v>
      </c>
      <c r="H65" s="2">
        <f>I65</f>
        <v>64385</v>
      </c>
      <c r="I65" s="2">
        <v>64385</v>
      </c>
      <c r="J65" s="97">
        <v>61239.275529644969</v>
      </c>
      <c r="K65" s="2">
        <v>62869.867409366634</v>
      </c>
      <c r="L65" s="2">
        <v>60695.744903071085</v>
      </c>
      <c r="M65" s="2">
        <v>62708.929851516637</v>
      </c>
      <c r="N65" s="2">
        <v>59688.903998598289</v>
      </c>
      <c r="O65" s="2">
        <v>60712.827614886635</v>
      </c>
      <c r="P65" s="2">
        <f>Q65</f>
        <v>58664.523285563315</v>
      </c>
      <c r="Q65" s="2">
        <v>58664.523285563315</v>
      </c>
      <c r="R65" s="97">
        <v>56618.863982032504</v>
      </c>
      <c r="S65" s="2">
        <v>58142.927602946751</v>
      </c>
      <c r="T65" s="2">
        <v>56110.842775061072</v>
      </c>
      <c r="U65" s="2">
        <v>58435.691749819969</v>
      </c>
      <c r="V65" s="2">
        <v>54948.418287681634</v>
      </c>
      <c r="W65" s="2">
        <v>56463.514708966672</v>
      </c>
      <c r="X65" s="2">
        <f>Y65</f>
        <v>53432.645140810018</v>
      </c>
      <c r="Y65" s="2">
        <v>53432.645140810018</v>
      </c>
      <c r="Z65" s="97">
        <v>51964.521403817504</v>
      </c>
      <c r="AA65" s="2">
        <v>53070.898677469995</v>
      </c>
      <c r="AB65" s="2">
        <v>51595.901190864453</v>
      </c>
      <c r="AC65" s="2">
        <v>53247.578566389901</v>
      </c>
      <c r="AD65" s="2">
        <v>50770.698934884975</v>
      </c>
      <c r="AE65" s="2">
        <v>51229.7776613233</v>
      </c>
      <c r="AF65" s="2">
        <f>AG65</f>
        <v>50311.620208446635</v>
      </c>
      <c r="AG65" s="2">
        <v>50311.620208446635</v>
      </c>
      <c r="AH65" s="97">
        <v>50373.767924432505</v>
      </c>
      <c r="AI65" s="2">
        <v>50997.451730293331</v>
      </c>
      <c r="AJ65" s="2">
        <v>50165.873322478881</v>
      </c>
      <c r="AK65" s="2">
        <v>51717.487142050013</v>
      </c>
      <c r="AL65" s="2">
        <v>49390.066412693319</v>
      </c>
      <c r="AM65" s="2">
        <v>49682.942702313332</v>
      </c>
      <c r="AN65" s="2">
        <v>49097.190123073327</v>
      </c>
      <c r="AO65" s="98">
        <v>49097.190123073327</v>
      </c>
    </row>
    <row r="66" spans="1:55" ht="15.75" thickBot="1" x14ac:dyDescent="0.3">
      <c r="A66" s="42" t="s">
        <v>100</v>
      </c>
      <c r="B66" s="114">
        <f>(B64/365*365)/B65</f>
        <v>1.1176174150993312E-2</v>
      </c>
      <c r="C66" s="52">
        <f>(C64/92*365)/C65</f>
        <v>1.7908563503911124E-2</v>
      </c>
      <c r="D66" s="52">
        <f>(D64/273*365)/D65</f>
        <v>8.8600521487516154E-3</v>
      </c>
      <c r="E66" s="52">
        <f>(E64/92*365)/E65</f>
        <v>1.4154828580200032E-2</v>
      </c>
      <c r="F66" s="52">
        <f>(F64/181*365)/F65</f>
        <v>6.0562646959597486E-3</v>
      </c>
      <c r="G66" s="52">
        <f>(G64/91*365)/G65</f>
        <v>6.4482748439015618E-3</v>
      </c>
      <c r="H66" s="52">
        <f>(H64/90*365)/H65</f>
        <v>5.6451833870665219E-3</v>
      </c>
      <c r="I66" s="52">
        <f>(I64/90*365)/I65</f>
        <v>5.6451833870665219E-3</v>
      </c>
      <c r="J66" s="114">
        <f>(J64/365*365)/J65</f>
        <v>-6.1698549307695224E-6</v>
      </c>
      <c r="K66" s="52">
        <f>(K64/92*365)/K65</f>
        <v>2.9750023589046291E-3</v>
      </c>
      <c r="L66" s="52">
        <f>(L64/273*365)/L65</f>
        <v>-1.046799731321633E-3</v>
      </c>
      <c r="M66" s="52">
        <f>(M64/92*365)/M65</f>
        <v>-6.8207321919831006E-4</v>
      </c>
      <c r="N66" s="52">
        <f>(N64/181*365)/N65</f>
        <v>-1.2412771464041274E-3</v>
      </c>
      <c r="O66" s="52">
        <f>(O64/91*365)/O65</f>
        <v>-1.904707186922594E-3</v>
      </c>
      <c r="P66" s="52">
        <f>(P64/90*365)/P65</f>
        <v>-5.4682320381106784E-4</v>
      </c>
      <c r="Q66" s="52">
        <f>(Q64/90*365)/Q65</f>
        <v>-5.4682320381106784E-4</v>
      </c>
      <c r="R66" s="114">
        <f>(R64/366*366)/R65</f>
        <v>-1.0241211279350703E-3</v>
      </c>
      <c r="S66" s="52">
        <f>(S64/92*366)/S65</f>
        <v>-1.2394055907261376E-3</v>
      </c>
      <c r="T66" s="52">
        <f>(T64/273*366)/T65</f>
        <v>-9.526270426211572E-4</v>
      </c>
      <c r="U66" s="52">
        <f>(U64/92*366)/U65</f>
        <v>-2.4032459709712982E-3</v>
      </c>
      <c r="V66" s="52">
        <f>(V64/182*366)/V65</f>
        <v>-1.6724350715263068E-4</v>
      </c>
      <c r="W66" s="52">
        <f>(W64/91*366)/W65</f>
        <v>-4.2890335607559376E-3</v>
      </c>
      <c r="X66" s="52">
        <f>(X64/91*366)/X65</f>
        <v>4.1883454689804391E-3</v>
      </c>
      <c r="Y66" s="52">
        <f>(Y64/91*366)/Y65</f>
        <v>4.1883454689804391E-3</v>
      </c>
      <c r="Z66" s="114">
        <f>(Z64/365*365)/Z65</f>
        <v>4.965585308509924E-3</v>
      </c>
      <c r="AA66" s="52">
        <f>(AA64/92*365)/AA65</f>
        <v>6.6282179491823695E-3</v>
      </c>
      <c r="AB66" s="52">
        <f>(AB64/273*365)/AB65</f>
        <v>4.3888599928554334E-3</v>
      </c>
      <c r="AC66" s="52">
        <f>(AC64/92*365)/AC65</f>
        <v>5.5741673452678808E-3</v>
      </c>
      <c r="AD66" s="52">
        <f>(AD64/181*365)/AD65</f>
        <v>3.7557528684466161E-3</v>
      </c>
      <c r="AE66" s="52">
        <f>(AE64/91*365)/AE65</f>
        <v>4.4632767206749871E-3</v>
      </c>
      <c r="AF66" s="52">
        <f>(AF64/90*365)/AF65</f>
        <v>3.0269315014482111E-3</v>
      </c>
      <c r="AG66" s="52">
        <f>(AG64/90*365)/AG65</f>
        <v>3.0269315014482111E-3</v>
      </c>
      <c r="AH66" s="114">
        <v>2.1076178342088439E-3</v>
      </c>
      <c r="AI66" s="52">
        <v>2.8662799261669116E-3</v>
      </c>
      <c r="AJ66" s="52">
        <v>1.8476174345973839E-3</v>
      </c>
      <c r="AK66" s="52">
        <v>2.2257157628875596E-3</v>
      </c>
      <c r="AL66" s="52">
        <v>1.6458975639962459E-3</v>
      </c>
      <c r="AM66" s="52">
        <v>2.2570055364780086E-3</v>
      </c>
      <c r="AN66" s="52">
        <v>1.02051859759585E-3</v>
      </c>
      <c r="AO66" s="115">
        <v>1.02051859759585E-3</v>
      </c>
    </row>
    <row r="67" spans="1:55" x14ac:dyDescent="0.25">
      <c r="B67" s="119"/>
      <c r="H67" s="15"/>
      <c r="I67" s="15"/>
      <c r="J67" s="119"/>
      <c r="L67" s="55"/>
      <c r="R67" s="119"/>
      <c r="T67" s="55"/>
      <c r="V67" s="55"/>
      <c r="Z67" s="55"/>
      <c r="AB67" s="55"/>
      <c r="AD67" s="55"/>
      <c r="AH67" s="95"/>
      <c r="AJ67" s="6"/>
      <c r="AK67" s="55"/>
      <c r="AL67" s="55"/>
      <c r="AM67" s="55"/>
      <c r="AN67" s="55"/>
      <c r="AO67" s="118"/>
      <c r="AP67" s="55"/>
      <c r="AQ67" s="55"/>
      <c r="AR67" s="55"/>
      <c r="AS67" s="55"/>
      <c r="AT67" s="55"/>
      <c r="AU67" s="55"/>
      <c r="AV67" s="55"/>
      <c r="AW67" s="55"/>
      <c r="AX67" s="55"/>
      <c r="AY67" s="55"/>
      <c r="AZ67" s="55"/>
      <c r="BA67" s="55"/>
      <c r="BB67" s="55"/>
      <c r="BC67" s="55"/>
    </row>
    <row r="68" spans="1:55" x14ac:dyDescent="0.25">
      <c r="B68" s="119"/>
      <c r="H68" s="15"/>
      <c r="I68" s="15"/>
      <c r="J68" s="119"/>
      <c r="L68" s="55"/>
      <c r="R68" s="119"/>
      <c r="T68" s="55"/>
      <c r="V68" s="55"/>
      <c r="Z68" s="55"/>
      <c r="AB68" s="55"/>
      <c r="AD68" s="55"/>
      <c r="AH68" s="95"/>
      <c r="AJ68" s="6"/>
      <c r="AK68" s="55"/>
      <c r="AL68" s="55"/>
      <c r="AM68" s="55"/>
      <c r="AN68" s="55"/>
      <c r="AO68" s="118"/>
      <c r="AP68" s="55"/>
      <c r="AQ68" s="55"/>
      <c r="AR68" s="55"/>
      <c r="AS68" s="55"/>
      <c r="AT68" s="55"/>
      <c r="AU68" s="55"/>
      <c r="AV68" s="55"/>
      <c r="AW68" s="55"/>
      <c r="AX68" s="55"/>
      <c r="AY68" s="55"/>
      <c r="AZ68" s="55"/>
      <c r="BA68" s="55"/>
      <c r="BB68" s="55"/>
      <c r="BC68" s="55"/>
    </row>
    <row r="69" spans="1:55" x14ac:dyDescent="0.25">
      <c r="A69" s="15" t="s">
        <v>101</v>
      </c>
      <c r="B69" s="119">
        <f>252956879.03589/1000</f>
        <v>252956.87903589002</v>
      </c>
      <c r="C69" s="15"/>
      <c r="D69" s="55">
        <v>248237.20436586998</v>
      </c>
      <c r="E69" s="55"/>
      <c r="F69" s="55">
        <v>242867</v>
      </c>
      <c r="G69" s="55"/>
      <c r="H69" s="55">
        <v>233581</v>
      </c>
      <c r="I69" s="55"/>
      <c r="J69" s="119">
        <v>230299</v>
      </c>
      <c r="K69" s="15"/>
      <c r="L69" s="55">
        <v>226952</v>
      </c>
      <c r="M69" s="15"/>
      <c r="N69" s="55">
        <v>225791</v>
      </c>
      <c r="O69" s="55"/>
      <c r="P69" s="55">
        <v>221291</v>
      </c>
      <c r="Q69" s="55"/>
      <c r="R69" s="119">
        <v>219181</v>
      </c>
      <c r="S69" s="15"/>
      <c r="T69" s="55">
        <v>216795</v>
      </c>
      <c r="U69" s="15"/>
      <c r="V69" s="55">
        <v>214432</v>
      </c>
      <c r="W69" s="15"/>
      <c r="X69" s="55">
        <v>212161</v>
      </c>
      <c r="Y69" s="55"/>
      <c r="Z69" s="55">
        <v>207114</v>
      </c>
      <c r="AA69" s="15"/>
      <c r="AB69" s="55">
        <v>203575</v>
      </c>
      <c r="AC69" s="15"/>
      <c r="AD69" s="55">
        <v>198626</v>
      </c>
      <c r="AE69" s="15"/>
      <c r="AF69" s="55">
        <v>196468</v>
      </c>
      <c r="AG69" s="55"/>
      <c r="AH69" s="119">
        <v>192105</v>
      </c>
      <c r="AI69" s="55"/>
      <c r="AJ69" s="55">
        <v>183014</v>
      </c>
      <c r="AK69" s="55"/>
      <c r="AL69" s="55">
        <v>178927</v>
      </c>
      <c r="AM69" s="55"/>
      <c r="AN69" s="55">
        <v>174280</v>
      </c>
      <c r="AO69" s="118"/>
      <c r="AP69" s="55"/>
      <c r="AQ69" s="55"/>
      <c r="AR69" s="55"/>
      <c r="AS69" s="55"/>
      <c r="AT69" s="55"/>
      <c r="AU69" s="55"/>
      <c r="AV69" s="55"/>
      <c r="AW69" s="55"/>
      <c r="AX69" s="55"/>
      <c r="AY69" s="55"/>
      <c r="AZ69" s="55"/>
      <c r="BA69" s="55"/>
      <c r="BB69" s="55"/>
      <c r="BC69" s="55"/>
    </row>
    <row r="70" spans="1:55" x14ac:dyDescent="0.25">
      <c r="A70" s="19" t="s">
        <v>102</v>
      </c>
      <c r="B70" s="99">
        <v>0</v>
      </c>
      <c r="C70" s="19"/>
      <c r="D70" s="86">
        <v>0</v>
      </c>
      <c r="E70" s="86"/>
      <c r="F70" s="86">
        <v>0</v>
      </c>
      <c r="G70" s="86"/>
      <c r="H70" s="86">
        <v>0</v>
      </c>
      <c r="I70" s="9"/>
      <c r="J70" s="99">
        <v>0</v>
      </c>
      <c r="K70" s="19"/>
      <c r="L70" s="56">
        <v>0</v>
      </c>
      <c r="M70" s="19"/>
      <c r="N70" s="86">
        <v>0</v>
      </c>
      <c r="O70" s="86"/>
      <c r="P70" s="86">
        <v>0</v>
      </c>
      <c r="Q70" s="9"/>
      <c r="R70" s="99">
        <v>0</v>
      </c>
      <c r="S70" s="19"/>
      <c r="T70" s="56">
        <v>3390</v>
      </c>
      <c r="U70" s="19"/>
      <c r="V70" s="56">
        <v>4198</v>
      </c>
      <c r="W70" s="19"/>
      <c r="X70" s="86">
        <v>4193</v>
      </c>
      <c r="Y70" s="9"/>
      <c r="Z70" s="56">
        <v>4243</v>
      </c>
      <c r="AA70" s="19"/>
      <c r="AB70" s="56">
        <v>6279</v>
      </c>
      <c r="AC70" s="19"/>
      <c r="AD70" s="56">
        <v>8887</v>
      </c>
      <c r="AE70" s="19"/>
      <c r="AF70" s="86">
        <v>8938</v>
      </c>
      <c r="AG70" s="9"/>
      <c r="AH70" s="111">
        <v>9294</v>
      </c>
      <c r="AI70" s="9"/>
      <c r="AJ70" s="3">
        <v>13431</v>
      </c>
      <c r="AK70" s="67"/>
      <c r="AL70" s="56">
        <v>14547</v>
      </c>
      <c r="AM70" s="67"/>
      <c r="AN70" s="56">
        <v>14632</v>
      </c>
      <c r="AO70" s="120"/>
      <c r="AP70" s="55"/>
    </row>
    <row r="71" spans="1:55" ht="30" x14ac:dyDescent="0.25">
      <c r="A71" s="57" t="s">
        <v>103</v>
      </c>
      <c r="B71" s="119">
        <f>SUM(B69:B70)</f>
        <v>252956.87903589002</v>
      </c>
      <c r="C71" s="57"/>
      <c r="D71" s="55">
        <f>SUM(D69:D70)</f>
        <v>248237.20436586998</v>
      </c>
      <c r="E71" s="55"/>
      <c r="F71" s="55">
        <f>SUM(F69:F70)</f>
        <v>242867</v>
      </c>
      <c r="G71" s="55"/>
      <c r="H71" s="55">
        <f>SUM(H69:H70)</f>
        <v>233581</v>
      </c>
      <c r="I71" s="29"/>
      <c r="J71" s="119">
        <f>SUM(J69:J70)</f>
        <v>230299</v>
      </c>
      <c r="K71" s="57"/>
      <c r="L71" s="55">
        <f>SUM(L69:L70)</f>
        <v>226952</v>
      </c>
      <c r="M71" s="57"/>
      <c r="N71" s="55">
        <f>SUM(N69:N70)</f>
        <v>225791</v>
      </c>
      <c r="O71" s="55"/>
      <c r="P71" s="55">
        <f>SUM(P69:P70)</f>
        <v>221291</v>
      </c>
      <c r="Q71" s="29"/>
      <c r="R71" s="119">
        <f>SUM(R69:R70)</f>
        <v>219181</v>
      </c>
      <c r="S71" s="57"/>
      <c r="T71" s="55">
        <f>SUM(T69:T70)</f>
        <v>220185</v>
      </c>
      <c r="U71" s="57"/>
      <c r="V71" s="55">
        <f>SUM(V69:V70)</f>
        <v>218630</v>
      </c>
      <c r="W71" s="57"/>
      <c r="X71" s="55">
        <f>SUM(X69:X70)</f>
        <v>216354</v>
      </c>
      <c r="Y71" s="29"/>
      <c r="Z71" s="55">
        <f>SUM(Z69:Z70)</f>
        <v>211357</v>
      </c>
      <c r="AA71" s="57"/>
      <c r="AB71" s="55">
        <f>SUM(AB69:AB70)</f>
        <v>209854</v>
      </c>
      <c r="AC71" s="57"/>
      <c r="AD71" s="55">
        <f>SUM(AD69:AD70)</f>
        <v>207513</v>
      </c>
      <c r="AE71" s="57"/>
      <c r="AF71" s="55">
        <f>SUM(AF69:AF70)</f>
        <v>205406</v>
      </c>
      <c r="AG71" s="29"/>
      <c r="AH71" s="119">
        <v>201399</v>
      </c>
      <c r="AI71" s="29"/>
      <c r="AJ71" s="55">
        <v>196445</v>
      </c>
      <c r="AK71" s="11"/>
      <c r="AL71" s="55">
        <v>193474</v>
      </c>
      <c r="AM71" s="11"/>
      <c r="AN71" s="55">
        <v>188912</v>
      </c>
      <c r="AO71" s="121"/>
    </row>
    <row r="72" spans="1:55" x14ac:dyDescent="0.25">
      <c r="A72" s="57"/>
      <c r="B72" s="119"/>
      <c r="C72" s="57"/>
      <c r="D72" s="29"/>
      <c r="E72" s="29"/>
      <c r="F72" s="29"/>
      <c r="G72" s="29"/>
      <c r="H72" s="29"/>
      <c r="I72" s="29"/>
      <c r="J72" s="119"/>
      <c r="K72" s="57"/>
      <c r="L72" s="55"/>
      <c r="M72" s="57"/>
      <c r="N72" s="29"/>
      <c r="O72" s="29"/>
      <c r="P72" s="29"/>
      <c r="Q72" s="29"/>
      <c r="R72" s="119"/>
      <c r="S72" s="57"/>
      <c r="T72" s="55"/>
      <c r="U72" s="57"/>
      <c r="V72" s="55"/>
      <c r="W72" s="57"/>
      <c r="X72" s="29"/>
      <c r="Y72" s="29"/>
      <c r="Z72" s="55"/>
      <c r="AA72" s="57"/>
      <c r="AB72" s="55"/>
      <c r="AC72" s="57"/>
      <c r="AD72" s="55"/>
      <c r="AE72" s="57"/>
      <c r="AF72" s="29"/>
      <c r="AG72" s="29"/>
      <c r="AH72" s="122"/>
      <c r="AI72" s="29"/>
      <c r="AJ72" s="55"/>
      <c r="AK72" s="11"/>
      <c r="AL72" s="55"/>
      <c r="AM72" s="11"/>
      <c r="AN72" s="55"/>
      <c r="AO72" s="121"/>
    </row>
    <row r="73" spans="1:55" x14ac:dyDescent="0.25">
      <c r="A73" s="15" t="s">
        <v>101</v>
      </c>
      <c r="B73" s="119">
        <f>B69</f>
        <v>252956.87903589002</v>
      </c>
      <c r="C73" s="15"/>
      <c r="D73" s="55">
        <f>D69</f>
        <v>248237.20436586998</v>
      </c>
      <c r="E73" s="55"/>
      <c r="F73" s="55">
        <f>F69</f>
        <v>242867</v>
      </c>
      <c r="G73" s="55"/>
      <c r="H73" s="55">
        <f>H69</f>
        <v>233581</v>
      </c>
      <c r="I73" s="29"/>
      <c r="J73" s="119">
        <f>J69</f>
        <v>230299</v>
      </c>
      <c r="K73" s="15"/>
      <c r="L73" s="55">
        <f>L69</f>
        <v>226952</v>
      </c>
      <c r="M73" s="15"/>
      <c r="N73" s="55">
        <f>N69</f>
        <v>225791</v>
      </c>
      <c r="O73" s="55"/>
      <c r="P73" s="55">
        <f>P69</f>
        <v>221291</v>
      </c>
      <c r="Q73" s="29"/>
      <c r="R73" s="119">
        <f>R69</f>
        <v>219181</v>
      </c>
      <c r="S73" s="15"/>
      <c r="T73" s="55">
        <f>T69</f>
        <v>216795</v>
      </c>
      <c r="U73" s="15"/>
      <c r="V73" s="55">
        <f>V69</f>
        <v>214432</v>
      </c>
      <c r="W73" s="15"/>
      <c r="X73" s="55">
        <f>X69</f>
        <v>212161</v>
      </c>
      <c r="Y73" s="29"/>
      <c r="Z73" s="55">
        <f>Z69</f>
        <v>207114</v>
      </c>
      <c r="AA73" s="15"/>
      <c r="AB73" s="55">
        <f>AB69</f>
        <v>203575</v>
      </c>
      <c r="AC73" s="15"/>
      <c r="AD73" s="55">
        <f>AD69</f>
        <v>198626</v>
      </c>
      <c r="AE73" s="15"/>
      <c r="AF73" s="55">
        <f>AF69</f>
        <v>196468</v>
      </c>
      <c r="AG73" s="29"/>
      <c r="AH73" s="119">
        <v>192105</v>
      </c>
      <c r="AI73" s="29"/>
      <c r="AJ73" s="55">
        <v>183014</v>
      </c>
      <c r="AK73" s="29"/>
      <c r="AL73" s="55">
        <v>178927</v>
      </c>
      <c r="AM73" s="29"/>
      <c r="AN73" s="55">
        <v>174280</v>
      </c>
      <c r="AO73" s="123"/>
    </row>
    <row r="74" spans="1:55" x14ac:dyDescent="0.25">
      <c r="A74" s="53" t="s">
        <v>104</v>
      </c>
      <c r="B74" s="99">
        <f>J69</f>
        <v>230299</v>
      </c>
      <c r="C74" s="53"/>
      <c r="D74" s="56">
        <f>L69</f>
        <v>226952</v>
      </c>
      <c r="E74" s="56"/>
      <c r="F74" s="56">
        <f>N69</f>
        <v>225791</v>
      </c>
      <c r="G74" s="56"/>
      <c r="H74" s="56">
        <f>P69</f>
        <v>221291</v>
      </c>
      <c r="I74" s="30"/>
      <c r="J74" s="99">
        <f>R69</f>
        <v>219181</v>
      </c>
      <c r="K74" s="53"/>
      <c r="L74" s="56">
        <f>T69</f>
        <v>216795</v>
      </c>
      <c r="M74" s="53"/>
      <c r="N74" s="56">
        <f>V69</f>
        <v>214432</v>
      </c>
      <c r="O74" s="56"/>
      <c r="P74" s="56">
        <f>X69</f>
        <v>212161</v>
      </c>
      <c r="Q74" s="30"/>
      <c r="R74" s="99">
        <f>Z69</f>
        <v>207114</v>
      </c>
      <c r="S74" s="53"/>
      <c r="T74" s="56">
        <f>AB69</f>
        <v>203575</v>
      </c>
      <c r="U74" s="53"/>
      <c r="V74" s="56">
        <f>AD69</f>
        <v>198626</v>
      </c>
      <c r="W74" s="53"/>
      <c r="X74" s="56">
        <f>AF69</f>
        <v>196468</v>
      </c>
      <c r="Y74" s="30"/>
      <c r="Z74" s="56">
        <f>AH69</f>
        <v>192105</v>
      </c>
      <c r="AA74" s="53"/>
      <c r="AB74" s="56">
        <f>AJ69</f>
        <v>183014</v>
      </c>
      <c r="AC74" s="53"/>
      <c r="AD74" s="56">
        <f>AL69</f>
        <v>178927</v>
      </c>
      <c r="AE74" s="53"/>
      <c r="AF74" s="56">
        <f>AN69</f>
        <v>174280</v>
      </c>
      <c r="AG74" s="30"/>
      <c r="AH74" s="99">
        <v>172554</v>
      </c>
      <c r="AI74" s="30"/>
      <c r="AJ74" s="56">
        <v>167105</v>
      </c>
      <c r="AK74" s="30"/>
      <c r="AL74" s="56">
        <v>164958</v>
      </c>
      <c r="AM74" s="30"/>
      <c r="AN74" s="56">
        <v>159843</v>
      </c>
      <c r="AO74" s="124"/>
    </row>
    <row r="75" spans="1:55" x14ac:dyDescent="0.25">
      <c r="A75" s="57" t="s">
        <v>105</v>
      </c>
      <c r="B75" s="119">
        <f>B73-B74</f>
        <v>22657.879035890015</v>
      </c>
      <c r="C75" s="57"/>
      <c r="D75" s="55">
        <f>D73-D74</f>
        <v>21285.204365869984</v>
      </c>
      <c r="E75" s="55"/>
      <c r="F75" s="55">
        <f>F73-F74</f>
        <v>17076</v>
      </c>
      <c r="G75" s="55"/>
      <c r="H75" s="55">
        <f>H73-H74</f>
        <v>12290</v>
      </c>
      <c r="I75" s="29"/>
      <c r="J75" s="119">
        <f>J73-J74</f>
        <v>11118</v>
      </c>
      <c r="K75" s="57"/>
      <c r="L75" s="55">
        <f>L73-L74</f>
        <v>10157</v>
      </c>
      <c r="M75" s="57"/>
      <c r="N75" s="55">
        <f>N73-N74</f>
        <v>11359</v>
      </c>
      <c r="O75" s="55"/>
      <c r="P75" s="55">
        <f>P73-P74</f>
        <v>9130</v>
      </c>
      <c r="Q75" s="29"/>
      <c r="R75" s="119">
        <f>R73-R74</f>
        <v>12067</v>
      </c>
      <c r="S75" s="57"/>
      <c r="T75" s="55">
        <f>T73-T74</f>
        <v>13220</v>
      </c>
      <c r="U75" s="57"/>
      <c r="V75" s="55">
        <f>V73-V74</f>
        <v>15806</v>
      </c>
      <c r="W75" s="57"/>
      <c r="X75" s="55">
        <f>X73-X74</f>
        <v>15693</v>
      </c>
      <c r="Y75" s="29"/>
      <c r="Z75" s="55">
        <f>Z73-Z74</f>
        <v>15009</v>
      </c>
      <c r="AA75" s="57"/>
      <c r="AB75" s="55">
        <f>AB73-AB74</f>
        <v>20561</v>
      </c>
      <c r="AC75" s="57"/>
      <c r="AD75" s="55">
        <f>AD73-AD74</f>
        <v>19699</v>
      </c>
      <c r="AE75" s="57"/>
      <c r="AF75" s="55">
        <f>AF73-AF74</f>
        <v>22188</v>
      </c>
      <c r="AG75" s="29"/>
      <c r="AH75" s="119">
        <v>19551</v>
      </c>
      <c r="AI75" s="29"/>
      <c r="AJ75" s="55">
        <v>15909</v>
      </c>
      <c r="AK75" s="29"/>
      <c r="AL75" s="55">
        <v>13969</v>
      </c>
      <c r="AM75" s="29"/>
      <c r="AN75" s="55">
        <v>14437</v>
      </c>
      <c r="AO75" s="123"/>
    </row>
    <row r="76" spans="1:55" x14ac:dyDescent="0.25">
      <c r="A76" s="57"/>
      <c r="B76" s="119"/>
      <c r="C76" s="57"/>
      <c r="D76" s="29"/>
      <c r="E76" s="29"/>
      <c r="F76" s="29"/>
      <c r="G76" s="29"/>
      <c r="H76" s="29"/>
      <c r="I76" s="29"/>
      <c r="J76" s="119"/>
      <c r="K76" s="57"/>
      <c r="L76" s="55"/>
      <c r="M76" s="57"/>
      <c r="N76" s="29"/>
      <c r="O76" s="29"/>
      <c r="P76" s="29"/>
      <c r="Q76" s="29"/>
      <c r="R76" s="119"/>
      <c r="S76" s="57"/>
      <c r="T76" s="55"/>
      <c r="U76" s="57"/>
      <c r="V76" s="55"/>
      <c r="W76" s="57"/>
      <c r="X76" s="29"/>
      <c r="Y76" s="29"/>
      <c r="Z76" s="55"/>
      <c r="AA76" s="57"/>
      <c r="AB76" s="55"/>
      <c r="AC76" s="57"/>
      <c r="AD76" s="55"/>
      <c r="AE76" s="57"/>
      <c r="AF76" s="29"/>
      <c r="AG76" s="29"/>
      <c r="AH76" s="122"/>
      <c r="AI76" s="29"/>
      <c r="AJ76" s="55"/>
      <c r="AK76" s="11"/>
      <c r="AL76" s="55"/>
      <c r="AM76" s="11"/>
      <c r="AN76" s="55"/>
      <c r="AO76" s="121"/>
    </row>
    <row r="77" spans="1:55" ht="30" x14ac:dyDescent="0.25">
      <c r="A77" s="57" t="s">
        <v>103</v>
      </c>
      <c r="B77" s="119">
        <f>B71</f>
        <v>252956.87903589002</v>
      </c>
      <c r="C77" s="57"/>
      <c r="D77" s="55">
        <f>D71</f>
        <v>248237.20436586998</v>
      </c>
      <c r="E77" s="55"/>
      <c r="F77" s="55">
        <f>F71</f>
        <v>242867</v>
      </c>
      <c r="G77" s="55"/>
      <c r="H77" s="55">
        <f>H71</f>
        <v>233581</v>
      </c>
      <c r="I77" s="29"/>
      <c r="J77" s="119">
        <f>J71</f>
        <v>230299</v>
      </c>
      <c r="K77" s="57"/>
      <c r="L77" s="55">
        <f>L71</f>
        <v>226952</v>
      </c>
      <c r="M77" s="57"/>
      <c r="N77" s="55">
        <f>N71</f>
        <v>225791</v>
      </c>
      <c r="O77" s="55"/>
      <c r="P77" s="55">
        <f>P71</f>
        <v>221291</v>
      </c>
      <c r="Q77" s="29"/>
      <c r="R77" s="119">
        <f>R71</f>
        <v>219181</v>
      </c>
      <c r="S77" s="57"/>
      <c r="T77" s="55">
        <f>T71</f>
        <v>220185</v>
      </c>
      <c r="U77" s="57"/>
      <c r="V77" s="55">
        <f>V71</f>
        <v>218630</v>
      </c>
      <c r="W77" s="57"/>
      <c r="X77" s="55">
        <f>X71</f>
        <v>216354</v>
      </c>
      <c r="Y77" s="29"/>
      <c r="Z77" s="55">
        <f>Z71</f>
        <v>211357</v>
      </c>
      <c r="AA77" s="57"/>
      <c r="AB77" s="55">
        <f>AB71</f>
        <v>209854</v>
      </c>
      <c r="AC77" s="57"/>
      <c r="AD77" s="55">
        <f>AD71</f>
        <v>207513</v>
      </c>
      <c r="AE77" s="57"/>
      <c r="AF77" s="55">
        <f>AF71</f>
        <v>205406</v>
      </c>
      <c r="AG77" s="29"/>
      <c r="AH77" s="119">
        <v>201399</v>
      </c>
      <c r="AI77" s="29"/>
      <c r="AJ77" s="55">
        <v>196445</v>
      </c>
      <c r="AK77" s="11"/>
      <c r="AL77" s="55">
        <v>193474</v>
      </c>
      <c r="AM77" s="11"/>
      <c r="AN77" s="55">
        <v>188912</v>
      </c>
      <c r="AO77" s="121"/>
    </row>
    <row r="78" spans="1:55" ht="30" x14ac:dyDescent="0.25">
      <c r="A78" s="53" t="s">
        <v>106</v>
      </c>
      <c r="B78" s="99">
        <f>J71</f>
        <v>230299</v>
      </c>
      <c r="C78" s="53"/>
      <c r="D78" s="56">
        <f>L71</f>
        <v>226952</v>
      </c>
      <c r="E78" s="56"/>
      <c r="F78" s="56">
        <f>N71</f>
        <v>225791</v>
      </c>
      <c r="G78" s="56"/>
      <c r="H78" s="56">
        <f>P71</f>
        <v>221291</v>
      </c>
      <c r="I78" s="30"/>
      <c r="J78" s="99">
        <f>R71</f>
        <v>219181</v>
      </c>
      <c r="K78" s="53"/>
      <c r="L78" s="56">
        <f>T71</f>
        <v>220185</v>
      </c>
      <c r="M78" s="53"/>
      <c r="N78" s="56">
        <f>V71</f>
        <v>218630</v>
      </c>
      <c r="O78" s="56"/>
      <c r="P78" s="56">
        <f>X71</f>
        <v>216354</v>
      </c>
      <c r="Q78" s="30"/>
      <c r="R78" s="99">
        <f>Z71</f>
        <v>211357</v>
      </c>
      <c r="S78" s="53"/>
      <c r="T78" s="56">
        <f>AB71</f>
        <v>209854</v>
      </c>
      <c r="U78" s="53"/>
      <c r="V78" s="56">
        <f>AD71</f>
        <v>207513</v>
      </c>
      <c r="W78" s="53"/>
      <c r="X78" s="56">
        <f>AF71</f>
        <v>205406</v>
      </c>
      <c r="Y78" s="30"/>
      <c r="Z78" s="56">
        <f>AH71</f>
        <v>201399</v>
      </c>
      <c r="AA78" s="53"/>
      <c r="AB78" s="56">
        <f>AJ71</f>
        <v>196445</v>
      </c>
      <c r="AC78" s="53"/>
      <c r="AD78" s="56">
        <f>AL71</f>
        <v>193474</v>
      </c>
      <c r="AE78" s="53"/>
      <c r="AF78" s="56">
        <f>AN71</f>
        <v>188912</v>
      </c>
      <c r="AG78" s="30"/>
      <c r="AH78" s="99">
        <v>187137</v>
      </c>
      <c r="AI78" s="30"/>
      <c r="AJ78" s="56">
        <v>185150</v>
      </c>
      <c r="AK78" s="10"/>
      <c r="AL78" s="56">
        <v>184317</v>
      </c>
      <c r="AM78" s="10"/>
      <c r="AN78" s="56">
        <v>183182</v>
      </c>
      <c r="AO78" s="125"/>
    </row>
    <row r="79" spans="1:55" x14ac:dyDescent="0.25">
      <c r="A79" s="57" t="s">
        <v>107</v>
      </c>
      <c r="B79" s="119">
        <f>B77-B78</f>
        <v>22657.879035890015</v>
      </c>
      <c r="C79" s="57"/>
      <c r="D79" s="55">
        <f>D77-D78</f>
        <v>21285.204365869984</v>
      </c>
      <c r="E79" s="55"/>
      <c r="F79" s="55">
        <f>F77-F78</f>
        <v>17076</v>
      </c>
      <c r="G79" s="55"/>
      <c r="H79" s="55">
        <f>H77-H78</f>
        <v>12290</v>
      </c>
      <c r="I79"/>
      <c r="J79" s="119">
        <f>J77-J78</f>
        <v>11118</v>
      </c>
      <c r="K79" s="57"/>
      <c r="L79" s="55">
        <f>L77-L78</f>
        <v>6767</v>
      </c>
      <c r="M79" s="57"/>
      <c r="N79" s="55">
        <f>N77-N78</f>
        <v>7161</v>
      </c>
      <c r="O79" s="55"/>
      <c r="P79" s="55">
        <f>P77-P78</f>
        <v>4937</v>
      </c>
      <c r="Q79"/>
      <c r="R79" s="119">
        <f>R77-R78</f>
        <v>7824</v>
      </c>
      <c r="S79" s="57"/>
      <c r="T79" s="55">
        <f>T77-T78</f>
        <v>10331</v>
      </c>
      <c r="U79" s="57"/>
      <c r="V79" s="55">
        <f>V77-V78</f>
        <v>11117</v>
      </c>
      <c r="W79" s="57"/>
      <c r="X79" s="55">
        <f>X77-X78</f>
        <v>10948</v>
      </c>
      <c r="Y79"/>
      <c r="Z79" s="55">
        <f>Z77-Z78</f>
        <v>9958</v>
      </c>
      <c r="AA79" s="57"/>
      <c r="AB79" s="55">
        <f>AB77-AB78</f>
        <v>13409</v>
      </c>
      <c r="AC79" s="57"/>
      <c r="AD79" s="55">
        <f>AD77-AD78</f>
        <v>14039</v>
      </c>
      <c r="AE79" s="57"/>
      <c r="AF79" s="55">
        <f>AF77-AF78</f>
        <v>16494</v>
      </c>
      <c r="AG79"/>
      <c r="AH79" s="119">
        <v>14262</v>
      </c>
      <c r="AI79"/>
      <c r="AJ79" s="55">
        <v>11295</v>
      </c>
      <c r="AK79" s="11"/>
      <c r="AL79" s="55">
        <v>9157</v>
      </c>
      <c r="AM79" s="11"/>
      <c r="AN79" s="55">
        <v>5730</v>
      </c>
      <c r="AO79" s="121"/>
    </row>
    <row r="80" spans="1:55" x14ac:dyDescent="0.25">
      <c r="A80" s="57"/>
      <c r="B80" s="119"/>
      <c r="C80" s="57"/>
      <c r="D80" s="57"/>
      <c r="E80" s="57"/>
      <c r="F80" s="57"/>
      <c r="G80" s="57"/>
      <c r="H80" s="57"/>
      <c r="I80" s="57"/>
      <c r="J80" s="119"/>
      <c r="K80" s="57"/>
      <c r="L80" s="55"/>
      <c r="M80" s="57"/>
      <c r="N80" s="57"/>
      <c r="O80" s="57"/>
      <c r="P80" s="57"/>
      <c r="Q80" s="57"/>
      <c r="R80" s="119"/>
      <c r="S80" s="57"/>
      <c r="T80" s="55"/>
      <c r="U80" s="57"/>
      <c r="V80" s="55"/>
      <c r="W80" s="57"/>
      <c r="X80" s="57"/>
      <c r="Y80" s="57"/>
      <c r="Z80" s="55"/>
      <c r="AA80" s="57"/>
      <c r="AB80" s="55"/>
      <c r="AC80" s="57"/>
      <c r="AD80" s="55"/>
      <c r="AE80" s="57"/>
      <c r="AF80" s="57"/>
      <c r="AG80" s="57"/>
      <c r="AH80" s="126"/>
      <c r="AI80" s="57"/>
      <c r="AJ80" s="55"/>
      <c r="AK80" s="11"/>
      <c r="AL80" s="55"/>
      <c r="AM80" s="11"/>
      <c r="AN80" s="55"/>
      <c r="AO80" s="121"/>
    </row>
    <row r="81" spans="1:58" ht="15.75" thickBot="1" x14ac:dyDescent="0.3">
      <c r="A81" s="59" t="s">
        <v>108</v>
      </c>
      <c r="B81" s="127">
        <f>B75/B74</f>
        <v>9.838461754453999E-2</v>
      </c>
      <c r="C81" s="59"/>
      <c r="D81" s="38">
        <f>D75/D74</f>
        <v>9.3787251779539213E-2</v>
      </c>
      <c r="E81" s="38"/>
      <c r="F81" s="38">
        <f>F75/F74</f>
        <v>7.5627460793388571E-2</v>
      </c>
      <c r="G81" s="38"/>
      <c r="H81" s="38">
        <f>H75/H74</f>
        <v>5.5537730861173751E-2</v>
      </c>
      <c r="I81" s="49"/>
      <c r="J81" s="127">
        <f>J75/J74</f>
        <v>5.072519972077872E-2</v>
      </c>
      <c r="K81" s="59"/>
      <c r="L81" s="38">
        <f>L75/L74</f>
        <v>4.6850711501649024E-2</v>
      </c>
      <c r="M81" s="59"/>
      <c r="N81" s="38">
        <f>N75/N74</f>
        <v>5.2972504103865094E-2</v>
      </c>
      <c r="O81" s="38"/>
      <c r="P81" s="38">
        <f>P75/P74</f>
        <v>4.3033356743228023E-2</v>
      </c>
      <c r="Q81" s="49"/>
      <c r="R81" s="127">
        <f>R75/R74</f>
        <v>5.8262599341425497E-2</v>
      </c>
      <c r="S81" s="59"/>
      <c r="T81" s="38">
        <f>T75/T74</f>
        <v>6.4939211592779073E-2</v>
      </c>
      <c r="U81" s="59"/>
      <c r="V81" s="38">
        <f>V75/V74</f>
        <v>7.9576691873168667E-2</v>
      </c>
      <c r="W81" s="59"/>
      <c r="X81" s="38">
        <f>X75/X74</f>
        <v>7.9875603151658287E-2</v>
      </c>
      <c r="Y81" s="49"/>
      <c r="Z81" s="38">
        <f>Z75/Z74</f>
        <v>7.8129148122120712E-2</v>
      </c>
      <c r="AA81" s="59"/>
      <c r="AB81" s="38">
        <f>AB75/AB74</f>
        <v>0.11234659643524539</v>
      </c>
      <c r="AC81" s="59"/>
      <c r="AD81" s="38">
        <f>AD75/AD74</f>
        <v>0.11009517848060942</v>
      </c>
      <c r="AE81" s="59"/>
      <c r="AF81" s="38">
        <f>AF75/AF74</f>
        <v>0.12731237089740646</v>
      </c>
      <c r="AG81" s="49"/>
      <c r="AH81" s="127">
        <v>0.11330366146249869</v>
      </c>
      <c r="AI81" s="49"/>
      <c r="AJ81" s="38">
        <v>9.5203614493881095E-2</v>
      </c>
      <c r="AK81" s="49"/>
      <c r="AL81" s="38">
        <v>8.468216151990203E-2</v>
      </c>
      <c r="AM81" s="49"/>
      <c r="AN81" s="38">
        <v>9.0319876378696595E-2</v>
      </c>
      <c r="AO81" s="128"/>
    </row>
    <row r="82" spans="1:58" x14ac:dyDescent="0.25">
      <c r="A82" s="66"/>
      <c r="B82" s="119"/>
      <c r="C82" s="62"/>
      <c r="D82" s="57"/>
      <c r="E82" s="57"/>
      <c r="F82" s="57"/>
      <c r="G82" s="57"/>
      <c r="H82" s="57"/>
      <c r="I82" s="57"/>
      <c r="J82" s="119"/>
      <c r="K82" s="62"/>
      <c r="L82" s="55"/>
      <c r="M82" s="62"/>
      <c r="N82" s="57"/>
      <c r="O82" s="57"/>
      <c r="P82" s="57"/>
      <c r="Q82" s="57"/>
      <c r="R82" s="119"/>
      <c r="S82" s="62"/>
      <c r="T82" s="55"/>
      <c r="U82" s="62"/>
      <c r="V82" s="55"/>
      <c r="W82" s="62"/>
      <c r="X82" s="57"/>
      <c r="Y82" s="57"/>
      <c r="Z82" s="55"/>
      <c r="AA82" s="62"/>
      <c r="AB82" s="55"/>
      <c r="AC82" s="62"/>
      <c r="AD82" s="55"/>
      <c r="AE82" s="62"/>
      <c r="AF82" s="57"/>
      <c r="AG82" s="57"/>
      <c r="AH82" s="126"/>
      <c r="AI82" s="57"/>
      <c r="AJ82" s="55"/>
      <c r="AK82" s="11"/>
      <c r="AL82" s="55"/>
      <c r="AM82" s="11"/>
      <c r="AN82" s="55"/>
      <c r="AO82" s="121"/>
    </row>
    <row r="83" spans="1:58" ht="15.75" customHeight="1" thickBot="1" x14ac:dyDescent="0.3">
      <c r="A83" s="59" t="s">
        <v>109</v>
      </c>
      <c r="B83" s="127">
        <f>B79/B78</f>
        <v>9.838461754453999E-2</v>
      </c>
      <c r="C83" s="59"/>
      <c r="D83" s="38">
        <f>D79/D78</f>
        <v>9.3787251779539213E-2</v>
      </c>
      <c r="E83" s="38"/>
      <c r="F83" s="38">
        <f>F79/F78</f>
        <v>7.5627460793388571E-2</v>
      </c>
      <c r="G83" s="38"/>
      <c r="H83" s="38">
        <f>H79/H78</f>
        <v>5.5537730861173751E-2</v>
      </c>
      <c r="I83" s="49"/>
      <c r="J83" s="127">
        <f>J79/J78</f>
        <v>5.072519972077872E-2</v>
      </c>
      <c r="K83" s="59"/>
      <c r="L83" s="38">
        <f>L79/L78</f>
        <v>3.073324704225992E-2</v>
      </c>
      <c r="M83" s="59"/>
      <c r="N83" s="38">
        <f>N79/N78</f>
        <v>3.2753967890957324E-2</v>
      </c>
      <c r="O83" s="38"/>
      <c r="P83" s="38">
        <f>P79/P78</f>
        <v>2.2819083539014764E-2</v>
      </c>
      <c r="Q83" s="49"/>
      <c r="R83" s="127">
        <f>R79/R78</f>
        <v>3.7017936477145304E-2</v>
      </c>
      <c r="S83" s="59"/>
      <c r="T83" s="38">
        <f>T79/T78</f>
        <v>4.9229464294223604E-2</v>
      </c>
      <c r="U83" s="59"/>
      <c r="V83" s="38">
        <f>V79/V78</f>
        <v>5.3572547262099243E-2</v>
      </c>
      <c r="W83" s="59"/>
      <c r="X83" s="38">
        <f>X79/X78</f>
        <v>5.3299319396707012E-2</v>
      </c>
      <c r="Y83" s="49"/>
      <c r="Z83" s="38">
        <f>Z79/Z78</f>
        <v>4.9444138252920822E-2</v>
      </c>
      <c r="AA83" s="59"/>
      <c r="AB83" s="38">
        <f>AB79/AB78</f>
        <v>6.8258291124742299E-2</v>
      </c>
      <c r="AC83" s="59"/>
      <c r="AD83" s="38">
        <f>AD79/AD78</f>
        <v>7.256272160600391E-2</v>
      </c>
      <c r="AE83" s="59"/>
      <c r="AF83" s="38">
        <f>AF79/AF78</f>
        <v>8.7310493774879303E-2</v>
      </c>
      <c r="AG83" s="49"/>
      <c r="AH83" s="127">
        <v>7.6211545552189036E-2</v>
      </c>
      <c r="AI83" s="49"/>
      <c r="AJ83" s="38">
        <v>6.1004590872265729E-2</v>
      </c>
      <c r="AK83" s="37"/>
      <c r="AL83" s="38">
        <v>4.9680713119245649E-2</v>
      </c>
      <c r="AM83" s="37"/>
      <c r="AN83" s="38">
        <v>3.1280365974822852E-2</v>
      </c>
      <c r="AO83" s="129"/>
    </row>
    <row r="84" spans="1:58" x14ac:dyDescent="0.25">
      <c r="B84" s="167"/>
      <c r="H84" s="15"/>
      <c r="I84" s="15"/>
      <c r="J84" s="167"/>
      <c r="L84" s="6"/>
      <c r="R84" s="167"/>
      <c r="T84" s="6"/>
      <c r="V84" s="6"/>
      <c r="Z84" s="6"/>
      <c r="AB84" s="6"/>
      <c r="AD84" s="6"/>
      <c r="AH84" s="95"/>
      <c r="AJ84" s="6"/>
      <c r="AK84" s="6"/>
      <c r="AL84" s="6"/>
      <c r="AM84" s="6"/>
      <c r="AN84" s="6"/>
      <c r="AO84" s="109"/>
    </row>
    <row r="85" spans="1:58" x14ac:dyDescent="0.25">
      <c r="B85" s="167"/>
      <c r="H85" s="15"/>
      <c r="I85" s="15"/>
      <c r="J85" s="167"/>
      <c r="L85" s="6"/>
      <c r="R85" s="167"/>
      <c r="T85" s="6"/>
      <c r="V85" s="6"/>
      <c r="Z85" s="6"/>
      <c r="AB85" s="6"/>
      <c r="AD85" s="6"/>
      <c r="AH85" s="95"/>
      <c r="AJ85" s="6"/>
      <c r="AK85" s="6"/>
      <c r="AL85" s="6"/>
      <c r="AM85" s="6"/>
      <c r="AN85" s="6"/>
      <c r="AO85" s="109"/>
    </row>
    <row r="86" spans="1:58" x14ac:dyDescent="0.25">
      <c r="A86" s="15" t="s">
        <v>110</v>
      </c>
      <c r="B86" s="119">
        <v>148100</v>
      </c>
      <c r="C86" s="15"/>
      <c r="D86" s="55">
        <v>143989</v>
      </c>
      <c r="E86" s="55"/>
      <c r="F86" s="55">
        <v>145667</v>
      </c>
      <c r="G86" s="55"/>
      <c r="H86" s="55">
        <v>141999</v>
      </c>
      <c r="I86" s="55"/>
      <c r="J86" s="119">
        <v>137664</v>
      </c>
      <c r="K86" s="15"/>
      <c r="L86" s="55">
        <v>132283</v>
      </c>
      <c r="M86" s="15"/>
      <c r="N86" s="55">
        <v>136209</v>
      </c>
      <c r="O86" s="55"/>
      <c r="P86" s="55">
        <v>128108</v>
      </c>
      <c r="Q86" s="55"/>
      <c r="R86" s="119">
        <v>118170</v>
      </c>
      <c r="S86" s="15"/>
      <c r="T86" s="55">
        <v>113248</v>
      </c>
      <c r="U86" s="15"/>
      <c r="V86" s="55">
        <v>111170</v>
      </c>
      <c r="W86" s="15"/>
      <c r="X86" s="55">
        <v>105545</v>
      </c>
      <c r="Y86" s="55"/>
      <c r="Z86" s="55">
        <v>103106</v>
      </c>
      <c r="AA86" s="15"/>
      <c r="AB86" s="55">
        <v>102181</v>
      </c>
      <c r="AC86" s="15"/>
      <c r="AD86" s="55">
        <v>102693</v>
      </c>
      <c r="AE86" s="15"/>
      <c r="AF86" s="55">
        <v>98991</v>
      </c>
      <c r="AG86" s="55"/>
      <c r="AH86" s="119">
        <v>98814</v>
      </c>
      <c r="AI86" s="55"/>
      <c r="AJ86" s="55">
        <v>100320</v>
      </c>
      <c r="AK86" s="55"/>
      <c r="AL86" s="55">
        <v>105824</v>
      </c>
      <c r="AM86" s="55"/>
      <c r="AN86" s="55">
        <v>99626</v>
      </c>
      <c r="AO86" s="118"/>
      <c r="AP86" s="55"/>
      <c r="AQ86" s="55"/>
      <c r="AR86" s="55"/>
      <c r="AS86" s="55"/>
      <c r="AT86" s="55"/>
      <c r="AU86" s="55"/>
      <c r="AV86" s="55"/>
      <c r="AW86" s="55"/>
      <c r="AX86" s="55"/>
      <c r="AY86" s="55"/>
      <c r="AZ86" s="55"/>
      <c r="BA86" s="55"/>
      <c r="BB86" s="55"/>
      <c r="BC86" s="55"/>
      <c r="BD86" s="55"/>
      <c r="BE86" s="55"/>
      <c r="BF86" s="55"/>
    </row>
    <row r="87" spans="1:58" ht="15" customHeight="1" x14ac:dyDescent="0.25">
      <c r="A87" s="30" t="s">
        <v>111</v>
      </c>
      <c r="B87" s="99">
        <f>J86</f>
        <v>137664</v>
      </c>
      <c r="C87" s="30"/>
      <c r="D87" s="56">
        <f>L86</f>
        <v>132283</v>
      </c>
      <c r="E87" s="56"/>
      <c r="F87" s="56">
        <f>N86</f>
        <v>136209</v>
      </c>
      <c r="G87" s="56"/>
      <c r="H87" s="56">
        <f>P86</f>
        <v>128108</v>
      </c>
      <c r="I87" s="30"/>
      <c r="J87" s="99">
        <f>R86</f>
        <v>118170</v>
      </c>
      <c r="K87" s="30"/>
      <c r="L87" s="56">
        <f>T86</f>
        <v>113248</v>
      </c>
      <c r="M87" s="30"/>
      <c r="N87" s="56">
        <f>V86</f>
        <v>111170</v>
      </c>
      <c r="O87" s="56"/>
      <c r="P87" s="56">
        <f>X86</f>
        <v>105545</v>
      </c>
      <c r="Q87" s="30"/>
      <c r="R87" s="99">
        <f>Z86</f>
        <v>103106</v>
      </c>
      <c r="S87" s="30"/>
      <c r="T87" s="56">
        <f>AB86</f>
        <v>102181</v>
      </c>
      <c r="U87" s="30"/>
      <c r="V87" s="56">
        <f>AD86</f>
        <v>102693</v>
      </c>
      <c r="W87" s="30"/>
      <c r="X87" s="56">
        <f>AF86</f>
        <v>98991</v>
      </c>
      <c r="Y87" s="30"/>
      <c r="Z87" s="56">
        <f>AH86</f>
        <v>98814</v>
      </c>
      <c r="AA87" s="30"/>
      <c r="AB87" s="56">
        <f>AJ86</f>
        <v>100320</v>
      </c>
      <c r="AC87" s="30"/>
      <c r="AD87" s="56">
        <f>AL86</f>
        <v>105824</v>
      </c>
      <c r="AE87" s="30"/>
      <c r="AF87" s="56">
        <f>AN86</f>
        <v>99626</v>
      </c>
      <c r="AG87" s="30"/>
      <c r="AH87" s="99">
        <v>95384</v>
      </c>
      <c r="AI87" s="30"/>
      <c r="AJ87" s="56">
        <v>98602</v>
      </c>
      <c r="AK87" s="56"/>
      <c r="AL87" s="56">
        <v>99758</v>
      </c>
      <c r="AM87" s="56"/>
      <c r="AN87" s="56">
        <v>93125</v>
      </c>
      <c r="AO87" s="130"/>
      <c r="AP87" s="55"/>
      <c r="AQ87" s="55"/>
      <c r="AR87" s="55"/>
      <c r="AS87" s="55"/>
      <c r="AT87" s="55"/>
      <c r="AU87" s="55"/>
      <c r="AV87" s="55"/>
      <c r="AW87" s="55"/>
      <c r="AX87" s="55"/>
      <c r="AY87" s="55"/>
      <c r="AZ87" s="55"/>
      <c r="BA87" s="55"/>
      <c r="BB87" s="55"/>
      <c r="BC87" s="55"/>
      <c r="BD87" s="55"/>
      <c r="BE87" s="55"/>
      <c r="BF87" s="55"/>
    </row>
    <row r="88" spans="1:58" x14ac:dyDescent="0.25">
      <c r="A88" s="15" t="s">
        <v>112</v>
      </c>
      <c r="B88" s="119">
        <f>B86-B87</f>
        <v>10436</v>
      </c>
      <c r="C88" s="15"/>
      <c r="D88" s="55">
        <f>D86-D87</f>
        <v>11706</v>
      </c>
      <c r="E88" s="55"/>
      <c r="F88" s="55">
        <f>F86-F87</f>
        <v>9458</v>
      </c>
      <c r="G88" s="55"/>
      <c r="H88" s="55">
        <f>H86-H87</f>
        <v>13891</v>
      </c>
      <c r="I88" s="55"/>
      <c r="J88" s="119">
        <f>J86-J87</f>
        <v>19494</v>
      </c>
      <c r="K88" s="15"/>
      <c r="L88" s="55">
        <f>L86-L87</f>
        <v>19035</v>
      </c>
      <c r="M88" s="15"/>
      <c r="N88" s="55">
        <f>N86-N87</f>
        <v>25039</v>
      </c>
      <c r="O88" s="55"/>
      <c r="P88" s="55">
        <f>P86-P87</f>
        <v>22563</v>
      </c>
      <c r="Q88" s="55"/>
      <c r="R88" s="119">
        <f>R86-R87</f>
        <v>15064</v>
      </c>
      <c r="S88" s="15"/>
      <c r="T88" s="55">
        <f>T86-T87</f>
        <v>11067</v>
      </c>
      <c r="U88" s="15"/>
      <c r="V88" s="55">
        <f>V86-V87</f>
        <v>8477</v>
      </c>
      <c r="W88" s="15"/>
      <c r="X88" s="55">
        <f>X86-X87</f>
        <v>6554</v>
      </c>
      <c r="Y88" s="55"/>
      <c r="Z88" s="55">
        <f>Z86-Z87</f>
        <v>4292</v>
      </c>
      <c r="AA88" s="15"/>
      <c r="AB88" s="55">
        <f>AB86-AB87</f>
        <v>1861</v>
      </c>
      <c r="AC88" s="15"/>
      <c r="AD88" s="55">
        <f>AD86-AD87</f>
        <v>-3131</v>
      </c>
      <c r="AE88" s="15"/>
      <c r="AF88" s="55">
        <f>AF86-AF87</f>
        <v>-635</v>
      </c>
      <c r="AG88" s="55"/>
      <c r="AH88" s="119">
        <v>3430</v>
      </c>
      <c r="AI88" s="55"/>
      <c r="AJ88" s="55">
        <v>1718</v>
      </c>
      <c r="AK88" s="55"/>
      <c r="AL88" s="55">
        <v>6066</v>
      </c>
      <c r="AM88" s="55"/>
      <c r="AN88" s="55">
        <v>6501</v>
      </c>
      <c r="AO88" s="118"/>
      <c r="AP88" s="55"/>
      <c r="AQ88" s="55"/>
      <c r="AR88" s="55"/>
      <c r="AS88" s="55"/>
      <c r="AT88" s="55"/>
      <c r="AU88" s="55"/>
      <c r="AV88" s="55"/>
      <c r="AW88" s="55"/>
      <c r="AX88" s="55"/>
      <c r="AY88" s="55"/>
      <c r="AZ88" s="55"/>
      <c r="BA88" s="55"/>
      <c r="BB88" s="55"/>
      <c r="BC88" s="55"/>
      <c r="BD88" s="55"/>
      <c r="BE88" s="55"/>
      <c r="BF88" s="55"/>
    </row>
    <row r="89" spans="1:58" x14ac:dyDescent="0.25">
      <c r="A89" s="15"/>
      <c r="B89" s="119"/>
      <c r="C89" s="15"/>
      <c r="D89" s="55"/>
      <c r="E89" s="55"/>
      <c r="F89" s="55"/>
      <c r="G89" s="55"/>
      <c r="H89" s="55"/>
      <c r="I89" s="55"/>
      <c r="J89" s="119"/>
      <c r="K89" s="15"/>
      <c r="L89" s="55"/>
      <c r="M89" s="15"/>
      <c r="N89" s="55"/>
      <c r="O89" s="55"/>
      <c r="P89" s="55"/>
      <c r="Q89" s="55"/>
      <c r="R89" s="119"/>
      <c r="S89" s="15"/>
      <c r="T89" s="55"/>
      <c r="U89" s="15"/>
      <c r="V89" s="55"/>
      <c r="W89" s="15"/>
      <c r="X89" s="55"/>
      <c r="Y89" s="55"/>
      <c r="Z89" s="55"/>
      <c r="AA89" s="15"/>
      <c r="AB89" s="55"/>
      <c r="AC89" s="15"/>
      <c r="AD89" s="55"/>
      <c r="AE89" s="15"/>
      <c r="AF89" s="55"/>
      <c r="AG89" s="55"/>
      <c r="AH89" s="119"/>
      <c r="AI89" s="55"/>
      <c r="AJ89" s="55"/>
      <c r="AK89" s="55"/>
      <c r="AL89" s="55"/>
      <c r="AM89" s="55"/>
      <c r="AN89" s="55"/>
      <c r="AO89" s="118"/>
      <c r="AP89" s="55"/>
      <c r="AQ89" s="55"/>
      <c r="AR89" s="55"/>
      <c r="AS89" s="55"/>
      <c r="AT89" s="55"/>
      <c r="AU89" s="55"/>
      <c r="AV89" s="55"/>
      <c r="AW89" s="55"/>
      <c r="AX89" s="55"/>
      <c r="AY89" s="55"/>
      <c r="AZ89" s="55"/>
      <c r="BA89" s="55"/>
      <c r="BB89" s="55"/>
      <c r="BC89" s="55"/>
      <c r="BD89" s="55"/>
      <c r="BE89" s="55"/>
      <c r="BF89" s="55"/>
    </row>
    <row r="90" spans="1:58" ht="15.75" thickBot="1" x14ac:dyDescent="0.3">
      <c r="A90" s="59" t="s">
        <v>20</v>
      </c>
      <c r="B90" s="127">
        <f>B88/B87</f>
        <v>7.5807763830776378E-2</v>
      </c>
      <c r="C90" s="59"/>
      <c r="D90" s="38">
        <f>D88/D87</f>
        <v>8.8492096490100772E-2</v>
      </c>
      <c r="E90" s="38"/>
      <c r="F90" s="38">
        <f>F88/F87</f>
        <v>6.9437408688118998E-2</v>
      </c>
      <c r="G90" s="38"/>
      <c r="H90" s="38">
        <f>H88/H87</f>
        <v>0.10843194804383802</v>
      </c>
      <c r="I90" s="49"/>
      <c r="J90" s="127">
        <f>J88/J87</f>
        <v>0.16496572734196496</v>
      </c>
      <c r="K90" s="59"/>
      <c r="L90" s="38">
        <f>L88/L87</f>
        <v>0.168082438541961</v>
      </c>
      <c r="M90" s="59"/>
      <c r="N90" s="38">
        <f>N88/N87</f>
        <v>0.2252316272375641</v>
      </c>
      <c r="O90" s="38"/>
      <c r="P90" s="38">
        <f>P88/P87</f>
        <v>0.21377611445355063</v>
      </c>
      <c r="Q90" s="49"/>
      <c r="R90" s="127">
        <f>R88/R87</f>
        <v>0.14610206971466258</v>
      </c>
      <c r="S90" s="59"/>
      <c r="T90" s="38">
        <f>T88/T87</f>
        <v>0.10830780673510731</v>
      </c>
      <c r="U90" s="59"/>
      <c r="V90" s="38">
        <f>V88/V87</f>
        <v>8.2547009046380959E-2</v>
      </c>
      <c r="W90" s="59"/>
      <c r="X90" s="38">
        <f>X88/X87</f>
        <v>6.6208039114666994E-2</v>
      </c>
      <c r="Y90" s="49"/>
      <c r="Z90" s="38">
        <f>Z88/Z87</f>
        <v>4.3435140769526585E-2</v>
      </c>
      <c r="AA90" s="59"/>
      <c r="AB90" s="38">
        <f>AB88/AB87</f>
        <v>1.8550637958532696E-2</v>
      </c>
      <c r="AC90" s="59"/>
      <c r="AD90" s="38">
        <f>AD88/AD87</f>
        <v>-2.958686120350771E-2</v>
      </c>
      <c r="AE90" s="59"/>
      <c r="AF90" s="38">
        <f>AF88/AF87</f>
        <v>-6.3738381546985723E-3</v>
      </c>
      <c r="AG90" s="49"/>
      <c r="AH90" s="127">
        <v>3.5959909418770447E-2</v>
      </c>
      <c r="AI90" s="49"/>
      <c r="AJ90" s="38">
        <v>1.7423581671771365E-2</v>
      </c>
      <c r="AK90" s="49"/>
      <c r="AL90" s="38">
        <v>6.0807153311012649E-2</v>
      </c>
      <c r="AM90" s="49"/>
      <c r="AN90" s="38">
        <v>6.9809395973154359E-2</v>
      </c>
      <c r="AO90" s="128"/>
    </row>
    <row r="91" spans="1:58" x14ac:dyDescent="0.25">
      <c r="B91" s="167"/>
      <c r="D91" s="6"/>
      <c r="E91" s="6"/>
      <c r="F91" s="6"/>
      <c r="G91" s="6"/>
      <c r="H91" s="6"/>
      <c r="I91" s="15"/>
      <c r="J91" s="167"/>
      <c r="L91" s="6"/>
      <c r="N91" s="6"/>
      <c r="O91" s="6"/>
      <c r="P91" s="6"/>
      <c r="R91" s="167"/>
      <c r="T91" s="6"/>
      <c r="V91" s="6"/>
      <c r="X91" s="6"/>
      <c r="Z91" s="6"/>
      <c r="AB91" s="6"/>
      <c r="AD91" s="6"/>
      <c r="AF91" s="6"/>
      <c r="AH91" s="95"/>
      <c r="AJ91" s="6"/>
      <c r="AK91" s="6"/>
      <c r="AL91" s="6"/>
      <c r="AM91" s="6"/>
      <c r="AN91" s="6"/>
      <c r="AO91" s="109"/>
    </row>
    <row r="92" spans="1:58" x14ac:dyDescent="0.25">
      <c r="A92" t="s">
        <v>113</v>
      </c>
      <c r="B92" s="101">
        <f>B86</f>
        <v>148100</v>
      </c>
      <c r="C92"/>
      <c r="D92" s="91">
        <f>D86</f>
        <v>143989</v>
      </c>
      <c r="E92" s="91"/>
      <c r="F92" s="91">
        <f>F86</f>
        <v>145667</v>
      </c>
      <c r="G92" s="91"/>
      <c r="H92" s="91">
        <f>H86</f>
        <v>141999</v>
      </c>
      <c r="I92"/>
      <c r="J92" s="101">
        <f>J86</f>
        <v>137664</v>
      </c>
      <c r="K92"/>
      <c r="L92" s="91">
        <f>L86</f>
        <v>132283</v>
      </c>
      <c r="M92"/>
      <c r="N92" s="91">
        <f>N86</f>
        <v>136209</v>
      </c>
      <c r="O92" s="91"/>
      <c r="P92" s="91">
        <f>P86</f>
        <v>128108</v>
      </c>
      <c r="Q92"/>
      <c r="R92" s="101">
        <f>R86</f>
        <v>118170</v>
      </c>
      <c r="S92"/>
      <c r="T92" s="91">
        <f>T86</f>
        <v>113248</v>
      </c>
      <c r="U92"/>
      <c r="V92" s="91">
        <f>V86</f>
        <v>111170</v>
      </c>
      <c r="W92"/>
      <c r="X92" s="91">
        <f>X86</f>
        <v>105545</v>
      </c>
      <c r="Y92"/>
      <c r="Z92" s="91">
        <f>Z86</f>
        <v>103106</v>
      </c>
      <c r="AA92"/>
      <c r="AB92" s="91">
        <f>AB86</f>
        <v>102181</v>
      </c>
      <c r="AC92"/>
      <c r="AD92" s="91">
        <f>AD86</f>
        <v>102693</v>
      </c>
      <c r="AE92"/>
      <c r="AF92" s="91">
        <f>AF86</f>
        <v>98991</v>
      </c>
      <c r="AG92"/>
      <c r="AH92" s="101">
        <v>98814</v>
      </c>
      <c r="AI92"/>
      <c r="AJ92" s="91">
        <v>100320</v>
      </c>
      <c r="AK92"/>
      <c r="AL92" s="91">
        <v>105824</v>
      </c>
      <c r="AM92"/>
      <c r="AN92" s="91">
        <v>99626</v>
      </c>
      <c r="AO92" s="131"/>
    </row>
    <row r="93" spans="1:58" x14ac:dyDescent="0.25">
      <c r="A93" s="53" t="s">
        <v>114</v>
      </c>
      <c r="B93" s="132">
        <f>B69</f>
        <v>252956.87903589002</v>
      </c>
      <c r="C93" s="53"/>
      <c r="D93" s="1">
        <f>D69</f>
        <v>248237.20436586998</v>
      </c>
      <c r="E93" s="1"/>
      <c r="F93" s="1">
        <f>F69</f>
        <v>242867</v>
      </c>
      <c r="G93" s="1"/>
      <c r="H93" s="1">
        <f>H69</f>
        <v>233581</v>
      </c>
      <c r="I93" s="53"/>
      <c r="J93" s="132">
        <f>J69</f>
        <v>230299</v>
      </c>
      <c r="K93" s="53"/>
      <c r="L93" s="1">
        <f>L69</f>
        <v>226952</v>
      </c>
      <c r="M93" s="53"/>
      <c r="N93" s="1">
        <f>N69</f>
        <v>225791</v>
      </c>
      <c r="O93" s="1"/>
      <c r="P93" s="1">
        <f>P69</f>
        <v>221291</v>
      </c>
      <c r="Q93" s="53"/>
      <c r="R93" s="132">
        <f>R69</f>
        <v>219181</v>
      </c>
      <c r="S93" s="53"/>
      <c r="T93" s="1">
        <f>T69</f>
        <v>216795</v>
      </c>
      <c r="U93" s="53"/>
      <c r="V93" s="1">
        <f>V69</f>
        <v>214432</v>
      </c>
      <c r="W93" s="53"/>
      <c r="X93" s="1">
        <f>X69</f>
        <v>212161</v>
      </c>
      <c r="Y93" s="53"/>
      <c r="Z93" s="1">
        <f>Z69</f>
        <v>207114</v>
      </c>
      <c r="AA93" s="53"/>
      <c r="AB93" s="1">
        <f>AB69</f>
        <v>203575</v>
      </c>
      <c r="AC93" s="53"/>
      <c r="AD93" s="1">
        <f>AD69</f>
        <v>198626</v>
      </c>
      <c r="AE93" s="53"/>
      <c r="AF93" s="1">
        <f>AF69</f>
        <v>196468</v>
      </c>
      <c r="AG93" s="53"/>
      <c r="AH93" s="132">
        <v>192105</v>
      </c>
      <c r="AI93" s="53"/>
      <c r="AJ93" s="1">
        <v>183014</v>
      </c>
      <c r="AK93" s="53"/>
      <c r="AL93" s="1">
        <v>178927</v>
      </c>
      <c r="AM93" s="53"/>
      <c r="AN93" s="1">
        <v>174280</v>
      </c>
      <c r="AO93" s="133"/>
    </row>
    <row r="94" spans="1:58" ht="15.75" thickBot="1" x14ac:dyDescent="0.3">
      <c r="A94" s="58" t="s">
        <v>22</v>
      </c>
      <c r="B94" s="134">
        <f>B92/B93</f>
        <v>0.58547528165457519</v>
      </c>
      <c r="C94" s="58"/>
      <c r="D94" s="46">
        <f>D92/D93</f>
        <v>0.5800460102981928</v>
      </c>
      <c r="E94" s="46"/>
      <c r="F94" s="46">
        <f>F92/F93</f>
        <v>0.59978095006732079</v>
      </c>
      <c r="G94" s="46"/>
      <c r="H94" s="46">
        <f>H92/H93</f>
        <v>0.60792187720747837</v>
      </c>
      <c r="I94" s="40"/>
      <c r="J94" s="134">
        <f>J92/J93</f>
        <v>0.59776203978306464</v>
      </c>
      <c r="K94" s="58"/>
      <c r="L94" s="46">
        <f>L92/L93</f>
        <v>0.58286774295886357</v>
      </c>
      <c r="M94" s="58"/>
      <c r="N94" s="46">
        <f>N92/N93</f>
        <v>0.60325256542554839</v>
      </c>
      <c r="O94" s="46"/>
      <c r="P94" s="46">
        <f>P92/P93</f>
        <v>0.57891193044452782</v>
      </c>
      <c r="Q94" s="40"/>
      <c r="R94" s="134">
        <f>R92/R93</f>
        <v>0.53914344765285316</v>
      </c>
      <c r="S94" s="58"/>
      <c r="T94" s="46">
        <f>T92/T93</f>
        <v>0.52237367097949672</v>
      </c>
      <c r="U94" s="58"/>
      <c r="V94" s="46">
        <f>V92/V93</f>
        <v>0.51843941202805555</v>
      </c>
      <c r="W94" s="58"/>
      <c r="X94" s="46">
        <f>X92/X93</f>
        <v>0.4974759734352685</v>
      </c>
      <c r="Y94" s="40"/>
      <c r="Z94" s="46">
        <f>Z92/Z93</f>
        <v>0.49782245526618191</v>
      </c>
      <c r="AA94" s="58"/>
      <c r="AB94" s="46">
        <f>AB92/AB93</f>
        <v>0.50193294854476234</v>
      </c>
      <c r="AC94" s="58"/>
      <c r="AD94" s="46">
        <f>AD92/AD93</f>
        <v>0.51701690614521767</v>
      </c>
      <c r="AE94" s="58"/>
      <c r="AF94" s="46">
        <f>AF92/AF93</f>
        <v>0.50385304477064963</v>
      </c>
      <c r="AG94" s="40"/>
      <c r="AH94" s="134">
        <v>0.51437495119856325</v>
      </c>
      <c r="AI94" s="40"/>
      <c r="AJ94" s="46">
        <v>0.54815478597265788</v>
      </c>
      <c r="AK94" s="40"/>
      <c r="AL94" s="46">
        <v>0.5914367311808727</v>
      </c>
      <c r="AM94" s="40"/>
      <c r="AN94" s="46">
        <v>0.57164333256828093</v>
      </c>
      <c r="AO94" s="135"/>
      <c r="AP94" s="23"/>
      <c r="AQ94" s="23"/>
      <c r="AR94" s="23"/>
      <c r="AS94" s="23"/>
      <c r="AT94" s="23"/>
      <c r="AU94" s="23"/>
      <c r="AV94" s="23"/>
      <c r="AW94" s="23"/>
      <c r="AX94" s="23"/>
      <c r="AY94" s="23"/>
    </row>
    <row r="95" spans="1:58" x14ac:dyDescent="0.25">
      <c r="B95" s="167"/>
      <c r="D95" s="6"/>
      <c r="E95" s="6"/>
      <c r="F95" s="6"/>
      <c r="G95" s="6"/>
      <c r="H95" s="6"/>
      <c r="I95" s="15"/>
      <c r="J95" s="167"/>
      <c r="L95" s="6"/>
      <c r="N95" s="6"/>
      <c r="O95" s="6"/>
      <c r="P95" s="6"/>
      <c r="R95" s="167"/>
      <c r="T95" s="6"/>
      <c r="V95" s="6"/>
      <c r="X95" s="6"/>
      <c r="Z95" s="6"/>
      <c r="AB95" s="6"/>
      <c r="AD95" s="6"/>
      <c r="AF95" s="6"/>
      <c r="AH95" s="95"/>
      <c r="AJ95" s="6"/>
      <c r="AK95" s="15"/>
      <c r="AL95" s="6"/>
      <c r="AM95" s="15"/>
      <c r="AN95" s="6"/>
      <c r="AO95" s="136"/>
    </row>
    <row r="96" spans="1:58" x14ac:dyDescent="0.25">
      <c r="A96" t="s">
        <v>113</v>
      </c>
      <c r="B96" s="101">
        <f>B86</f>
        <v>148100</v>
      </c>
      <c r="C96"/>
      <c r="D96" s="91">
        <f>D86</f>
        <v>143989</v>
      </c>
      <c r="E96" s="91"/>
      <c r="F96" s="91">
        <f>F86</f>
        <v>145667</v>
      </c>
      <c r="G96" s="91"/>
      <c r="H96" s="91">
        <f>H86</f>
        <v>141999</v>
      </c>
      <c r="I96"/>
      <c r="J96" s="101">
        <f>J86</f>
        <v>137664</v>
      </c>
      <c r="K96"/>
      <c r="L96" s="91">
        <f>L86</f>
        <v>132283</v>
      </c>
      <c r="M96"/>
      <c r="N96" s="91">
        <f>N86</f>
        <v>136209</v>
      </c>
      <c r="O96" s="91"/>
      <c r="P96" s="91">
        <f>P86</f>
        <v>128108</v>
      </c>
      <c r="Q96"/>
      <c r="R96" s="101">
        <f>R86</f>
        <v>118170</v>
      </c>
      <c r="S96"/>
      <c r="T96" s="91">
        <f>T86</f>
        <v>113248</v>
      </c>
      <c r="U96"/>
      <c r="V96" s="91">
        <f>V86</f>
        <v>111170</v>
      </c>
      <c r="W96"/>
      <c r="X96" s="91">
        <f>X86</f>
        <v>105545</v>
      </c>
      <c r="Y96"/>
      <c r="Z96" s="91">
        <f>Z86</f>
        <v>103106</v>
      </c>
      <c r="AA96"/>
      <c r="AB96" s="91">
        <f>AB86</f>
        <v>102181</v>
      </c>
      <c r="AC96"/>
      <c r="AD96" s="91">
        <f>AD86</f>
        <v>102693</v>
      </c>
      <c r="AE96"/>
      <c r="AF96" s="91">
        <f>AF86</f>
        <v>98991</v>
      </c>
      <c r="AG96"/>
      <c r="AH96" s="101">
        <v>98814</v>
      </c>
      <c r="AI96"/>
      <c r="AJ96" s="91">
        <v>100320</v>
      </c>
      <c r="AK96"/>
      <c r="AL96" s="91">
        <v>105824</v>
      </c>
      <c r="AM96"/>
      <c r="AN96" s="91">
        <v>99626</v>
      </c>
      <c r="AO96" s="131"/>
    </row>
    <row r="97" spans="1:51" x14ac:dyDescent="0.25">
      <c r="A97" s="53" t="s">
        <v>115</v>
      </c>
      <c r="B97" s="132">
        <f>B71</f>
        <v>252956.87903589002</v>
      </c>
      <c r="C97" s="53"/>
      <c r="D97" s="1">
        <f>D71</f>
        <v>248237.20436586998</v>
      </c>
      <c r="E97" s="1"/>
      <c r="F97" s="1">
        <f>F71</f>
        <v>242867</v>
      </c>
      <c r="G97" s="1"/>
      <c r="H97" s="1">
        <f>H71</f>
        <v>233581</v>
      </c>
      <c r="I97" s="53"/>
      <c r="J97" s="132">
        <f>J71</f>
        <v>230299</v>
      </c>
      <c r="K97" s="53"/>
      <c r="L97" s="1">
        <f>L71</f>
        <v>226952</v>
      </c>
      <c r="M97" s="53"/>
      <c r="N97" s="1">
        <f>N71</f>
        <v>225791</v>
      </c>
      <c r="O97" s="1"/>
      <c r="P97" s="1">
        <f>P71</f>
        <v>221291</v>
      </c>
      <c r="Q97" s="53"/>
      <c r="R97" s="132">
        <f>R71</f>
        <v>219181</v>
      </c>
      <c r="S97" s="53"/>
      <c r="T97" s="1">
        <f>T71</f>
        <v>220185</v>
      </c>
      <c r="U97" s="53"/>
      <c r="V97" s="1">
        <f>V71</f>
        <v>218630</v>
      </c>
      <c r="W97" s="53"/>
      <c r="X97" s="1">
        <f>X71</f>
        <v>216354</v>
      </c>
      <c r="Y97" s="53"/>
      <c r="Z97" s="1">
        <f>Z71</f>
        <v>211357</v>
      </c>
      <c r="AA97" s="53"/>
      <c r="AB97" s="1">
        <f>AB71</f>
        <v>209854</v>
      </c>
      <c r="AC97" s="53"/>
      <c r="AD97" s="1">
        <f>AD71</f>
        <v>207513</v>
      </c>
      <c r="AE97" s="53"/>
      <c r="AF97" s="1">
        <f>AF71</f>
        <v>205406</v>
      </c>
      <c r="AG97" s="53"/>
      <c r="AH97" s="132">
        <v>201399</v>
      </c>
      <c r="AI97" s="53"/>
      <c r="AJ97" s="1">
        <v>196445</v>
      </c>
      <c r="AK97" s="53"/>
      <c r="AL97" s="1">
        <v>193474</v>
      </c>
      <c r="AM97" s="53"/>
      <c r="AN97" s="1">
        <v>188912</v>
      </c>
      <c r="AO97" s="133"/>
    </row>
    <row r="98" spans="1:51" ht="15.75" thickBot="1" x14ac:dyDescent="0.3">
      <c r="A98" s="58" t="s">
        <v>116</v>
      </c>
      <c r="B98" s="134">
        <f>B96/B97</f>
        <v>0.58547528165457519</v>
      </c>
      <c r="C98" s="58"/>
      <c r="D98" s="46">
        <f>D96/D97</f>
        <v>0.5800460102981928</v>
      </c>
      <c r="E98" s="46"/>
      <c r="F98" s="46">
        <f>F96/F97</f>
        <v>0.59978095006732079</v>
      </c>
      <c r="G98" s="46"/>
      <c r="H98" s="46">
        <f>H96/H97</f>
        <v>0.60792187720747837</v>
      </c>
      <c r="I98" s="40"/>
      <c r="J98" s="134">
        <f>J96/J97</f>
        <v>0.59776203978306464</v>
      </c>
      <c r="K98" s="58"/>
      <c r="L98" s="46">
        <f>L96/L97</f>
        <v>0.58286774295886357</v>
      </c>
      <c r="M98" s="58"/>
      <c r="N98" s="46">
        <f>N96/N97</f>
        <v>0.60325256542554839</v>
      </c>
      <c r="O98" s="46"/>
      <c r="P98" s="46">
        <f>P96/P97</f>
        <v>0.57891193044452782</v>
      </c>
      <c r="Q98" s="40"/>
      <c r="R98" s="134">
        <f>R96/R97</f>
        <v>0.53914344765285316</v>
      </c>
      <c r="S98" s="58"/>
      <c r="T98" s="46">
        <f>T96/T97</f>
        <v>0.51433113064014346</v>
      </c>
      <c r="U98" s="58"/>
      <c r="V98" s="46">
        <f>V96/V97</f>
        <v>0.50848465443900659</v>
      </c>
      <c r="W98" s="58"/>
      <c r="X98" s="46">
        <f>X96/X97</f>
        <v>0.48783475230409423</v>
      </c>
      <c r="Y98" s="40"/>
      <c r="Z98" s="46">
        <f>Z96/Z97</f>
        <v>0.48782865010385273</v>
      </c>
      <c r="AA98" s="58"/>
      <c r="AB98" s="46">
        <f>AB96/AB97</f>
        <v>0.48691471213319737</v>
      </c>
      <c r="AC98" s="58"/>
      <c r="AD98" s="46">
        <f>AD96/AD97</f>
        <v>0.4948750198782727</v>
      </c>
      <c r="AE98" s="58"/>
      <c r="AF98" s="46">
        <f>AF96/AF97</f>
        <v>0.48192847336494554</v>
      </c>
      <c r="AG98" s="40"/>
      <c r="AH98" s="134">
        <v>0.4906379872789835</v>
      </c>
      <c r="AI98" s="40"/>
      <c r="AJ98" s="46">
        <v>0.51067728880857233</v>
      </c>
      <c r="AK98" s="40"/>
      <c r="AL98" s="46">
        <v>0.54696755119550944</v>
      </c>
      <c r="AM98" s="40"/>
      <c r="AN98" s="46">
        <v>0.52736723977301603</v>
      </c>
      <c r="AO98" s="135"/>
      <c r="AP98" s="68"/>
      <c r="AQ98" s="68"/>
      <c r="AR98" s="68"/>
      <c r="AS98" s="23"/>
      <c r="AT98" s="23"/>
      <c r="AU98" s="23"/>
      <c r="AV98" s="23"/>
      <c r="AW98" s="23"/>
      <c r="AX98" s="23"/>
      <c r="AY98" s="23"/>
    </row>
    <row r="99" spans="1:51" x14ac:dyDescent="0.25">
      <c r="B99" s="167"/>
      <c r="H99" s="15"/>
      <c r="I99" s="15"/>
      <c r="J99" s="167"/>
      <c r="L99" s="6"/>
      <c r="R99" s="167"/>
      <c r="T99" s="6"/>
      <c r="V99" s="6"/>
      <c r="Z99" s="6"/>
      <c r="AB99" s="6"/>
      <c r="AD99" s="6"/>
      <c r="AH99" s="95"/>
      <c r="AJ99" s="6"/>
      <c r="AK99" s="6"/>
      <c r="AL99" s="6"/>
      <c r="AM99" s="6"/>
      <c r="AN99" s="6"/>
      <c r="AO99" s="109"/>
      <c r="AP99" s="15"/>
      <c r="AQ99" s="15"/>
      <c r="AR99" s="15"/>
    </row>
    <row r="100" spans="1:51" x14ac:dyDescent="0.25">
      <c r="B100" s="167"/>
      <c r="H100" s="15"/>
      <c r="I100" s="15"/>
      <c r="J100" s="167"/>
      <c r="L100" s="6"/>
      <c r="R100" s="167"/>
      <c r="T100" s="6"/>
      <c r="V100" s="6"/>
      <c r="Z100" s="6"/>
      <c r="AB100" s="6"/>
      <c r="AD100" s="6"/>
      <c r="AH100" s="95"/>
      <c r="AJ100" s="6"/>
      <c r="AK100" s="6"/>
      <c r="AL100" s="6"/>
      <c r="AM100" s="6"/>
      <c r="AN100" s="6"/>
      <c r="AO100" s="109"/>
      <c r="AP100" s="15"/>
      <c r="AQ100" s="15"/>
      <c r="AR100" s="15"/>
    </row>
    <row r="101" spans="1:51" x14ac:dyDescent="0.25">
      <c r="A101" s="15" t="s">
        <v>117</v>
      </c>
      <c r="B101" s="97">
        <f>I101+C101+E101+G101</f>
        <v>5.3962229600000953</v>
      </c>
      <c r="C101" s="204">
        <f>36396222.9600001/1000000</f>
        <v>36.396222960000095</v>
      </c>
      <c r="D101" s="17">
        <f>E101+G101+I101</f>
        <v>-31</v>
      </c>
      <c r="E101" s="17">
        <v>6</v>
      </c>
      <c r="F101" s="17">
        <f>I101+G101</f>
        <v>-37</v>
      </c>
      <c r="G101" s="17">
        <v>-52</v>
      </c>
      <c r="H101" s="17">
        <f>I101</f>
        <v>15</v>
      </c>
      <c r="I101" s="196">
        <v>15</v>
      </c>
      <c r="J101" s="97">
        <f>Q101+K101+M101+O101</f>
        <v>192</v>
      </c>
      <c r="K101" s="2">
        <v>-24</v>
      </c>
      <c r="L101" s="2">
        <f>M101+O101+Q101</f>
        <v>216</v>
      </c>
      <c r="M101" s="33">
        <v>37</v>
      </c>
      <c r="N101" s="17">
        <f>Q101+O101</f>
        <v>179</v>
      </c>
      <c r="O101" s="17">
        <v>58</v>
      </c>
      <c r="P101" s="17">
        <f>Q101</f>
        <v>121</v>
      </c>
      <c r="Q101" s="196">
        <v>121</v>
      </c>
      <c r="R101" s="97">
        <f>Y101+S101+U101+W101</f>
        <v>2030</v>
      </c>
      <c r="S101" s="2">
        <v>270</v>
      </c>
      <c r="T101" s="2">
        <f>U101+W101+Y101</f>
        <v>1760</v>
      </c>
      <c r="U101" s="33">
        <v>369</v>
      </c>
      <c r="V101" s="2">
        <f>W101+Y101</f>
        <v>1391</v>
      </c>
      <c r="W101" s="2">
        <v>831</v>
      </c>
      <c r="X101" s="17">
        <f>Y101</f>
        <v>560</v>
      </c>
      <c r="Y101" s="194">
        <v>560</v>
      </c>
      <c r="Z101" s="97">
        <f>AG101+AA101+AC101+AE101</f>
        <v>235</v>
      </c>
      <c r="AA101" s="2">
        <v>139</v>
      </c>
      <c r="AB101" s="2">
        <f>AC101+AE101+AG101</f>
        <v>96</v>
      </c>
      <c r="AC101" s="33">
        <v>66</v>
      </c>
      <c r="AD101" s="2">
        <f>AE101+AG101</f>
        <v>30</v>
      </c>
      <c r="AE101" s="2">
        <v>-19</v>
      </c>
      <c r="AF101" s="12">
        <f>AG101</f>
        <v>49</v>
      </c>
      <c r="AG101" s="102">
        <v>49</v>
      </c>
      <c r="AH101" s="97">
        <v>324</v>
      </c>
      <c r="AI101" s="2">
        <v>92</v>
      </c>
      <c r="AJ101" s="2">
        <v>232</v>
      </c>
      <c r="AK101" s="48">
        <v>59</v>
      </c>
      <c r="AL101" s="2">
        <v>173</v>
      </c>
      <c r="AM101" s="48">
        <v>99</v>
      </c>
      <c r="AN101" s="2">
        <v>74</v>
      </c>
      <c r="AO101" s="98">
        <v>74</v>
      </c>
      <c r="AP101" s="15"/>
      <c r="AQ101" s="15"/>
      <c r="AR101" s="15"/>
    </row>
    <row r="102" spans="1:51" x14ac:dyDescent="0.25">
      <c r="A102" s="15" t="s">
        <v>118</v>
      </c>
      <c r="B102" s="142">
        <f>B101</f>
        <v>5.3962229600000953</v>
      </c>
      <c r="C102" s="204">
        <f>C101*4</f>
        <v>145.58489184000038</v>
      </c>
      <c r="D102" s="33">
        <f>D101/3*4</f>
        <v>-41.333333333333336</v>
      </c>
      <c r="E102" s="33">
        <f>E101*4</f>
        <v>24</v>
      </c>
      <c r="F102" s="33">
        <f>F101/2*4</f>
        <v>-74</v>
      </c>
      <c r="G102" s="33">
        <f>+G101*4</f>
        <v>-208</v>
      </c>
      <c r="H102" s="33">
        <f>H101/1*4</f>
        <v>60</v>
      </c>
      <c r="I102" s="33">
        <f>I101*4</f>
        <v>60</v>
      </c>
      <c r="J102" s="142">
        <f>J101</f>
        <v>192</v>
      </c>
      <c r="K102" s="2">
        <f>K101*4</f>
        <v>-96</v>
      </c>
      <c r="L102" s="33">
        <f>L101/3*4</f>
        <v>288</v>
      </c>
      <c r="M102" s="33">
        <f>M101*4</f>
        <v>148</v>
      </c>
      <c r="N102" s="33">
        <f>N101/2*4</f>
        <v>358</v>
      </c>
      <c r="O102" s="33">
        <f>O101*4</f>
        <v>232</v>
      </c>
      <c r="P102" s="33">
        <f>P101/1*4</f>
        <v>484</v>
      </c>
      <c r="Q102" s="33">
        <f>Q101*4</f>
        <v>484</v>
      </c>
      <c r="R102" s="142">
        <f>R101</f>
        <v>2030</v>
      </c>
      <c r="S102" s="2">
        <f>S101*4</f>
        <v>1080</v>
      </c>
      <c r="T102" s="33">
        <f>T101/3*4</f>
        <v>2346.6666666666665</v>
      </c>
      <c r="U102" s="33">
        <f>U101*4</f>
        <v>1476</v>
      </c>
      <c r="V102" s="33">
        <f>V101/2*4</f>
        <v>2782</v>
      </c>
      <c r="W102" s="33">
        <f>W101*4</f>
        <v>3324</v>
      </c>
      <c r="X102" s="33">
        <f>X101/1*4</f>
        <v>2240</v>
      </c>
      <c r="Y102" s="102">
        <f>Y101*4</f>
        <v>2240</v>
      </c>
      <c r="Z102" s="33">
        <f>Z101</f>
        <v>235</v>
      </c>
      <c r="AA102" s="2">
        <f>AA101*4</f>
        <v>556</v>
      </c>
      <c r="AB102" s="33">
        <f>AB101/3*4</f>
        <v>128</v>
      </c>
      <c r="AC102" s="33">
        <f>AC101*4</f>
        <v>264</v>
      </c>
      <c r="AD102" s="33">
        <f>AD101/2*4</f>
        <v>60</v>
      </c>
      <c r="AE102" s="33">
        <f>AE101*4</f>
        <v>-76</v>
      </c>
      <c r="AF102" s="33">
        <f>AF101/1*4</f>
        <v>196</v>
      </c>
      <c r="AG102" s="102">
        <f>AG101*4</f>
        <v>196</v>
      </c>
      <c r="AH102" s="97">
        <v>324</v>
      </c>
      <c r="AI102" s="2">
        <v>368</v>
      </c>
      <c r="AJ102" s="33">
        <v>309.33333333333331</v>
      </c>
      <c r="AK102" s="33">
        <v>236</v>
      </c>
      <c r="AL102" s="33">
        <v>346</v>
      </c>
      <c r="AM102" s="33">
        <v>396</v>
      </c>
      <c r="AN102" s="33">
        <v>296</v>
      </c>
      <c r="AO102" s="102">
        <v>296</v>
      </c>
      <c r="AP102" s="15"/>
      <c r="AQ102" s="15"/>
      <c r="AR102" s="15"/>
    </row>
    <row r="103" spans="1:51" x14ac:dyDescent="0.25">
      <c r="A103" s="15"/>
      <c r="B103" s="142"/>
      <c r="C103" s="15"/>
      <c r="D103" s="8"/>
      <c r="E103" s="8"/>
      <c r="F103" s="8"/>
      <c r="G103" s="8"/>
      <c r="H103" s="8"/>
      <c r="I103" s="8"/>
      <c r="J103" s="142"/>
      <c r="K103" s="15"/>
      <c r="L103" s="33"/>
      <c r="M103" s="15"/>
      <c r="N103" s="8"/>
      <c r="O103" s="8"/>
      <c r="P103" s="8"/>
      <c r="Q103" s="8"/>
      <c r="R103" s="142"/>
      <c r="S103" s="15"/>
      <c r="T103" s="33"/>
      <c r="U103" s="15"/>
      <c r="V103" s="33"/>
      <c r="W103" s="15"/>
      <c r="X103" s="8"/>
      <c r="Y103" s="8"/>
      <c r="Z103" s="33"/>
      <c r="AA103" s="15"/>
      <c r="AB103" s="33"/>
      <c r="AC103" s="15"/>
      <c r="AD103" s="33"/>
      <c r="AE103" s="15"/>
      <c r="AF103" s="8"/>
      <c r="AG103" s="8"/>
      <c r="AH103" s="137"/>
      <c r="AI103" s="5"/>
      <c r="AJ103" s="33"/>
      <c r="AK103" s="33"/>
      <c r="AL103" s="33"/>
      <c r="AM103" s="33"/>
      <c r="AN103" s="33"/>
      <c r="AO103" s="102"/>
      <c r="AP103" s="15"/>
      <c r="AQ103" s="15"/>
      <c r="AR103" s="15"/>
    </row>
    <row r="104" spans="1:51" x14ac:dyDescent="0.25">
      <c r="A104" s="15" t="s">
        <v>119</v>
      </c>
      <c r="B104" s="104">
        <f>(B69+J69)/2</f>
        <v>241627.93951794499</v>
      </c>
      <c r="C104" s="3">
        <f>(B69+D69)/2</f>
        <v>250597.04170087999</v>
      </c>
      <c r="D104" s="18">
        <f>(D69+F69+H69)/3</f>
        <v>241561.73478862332</v>
      </c>
      <c r="E104" s="3">
        <f>(D69+F69)/2</f>
        <v>245552.10218293499</v>
      </c>
      <c r="F104" s="18">
        <f>(F69+H69+J69)/3</f>
        <v>235582.33333333334</v>
      </c>
      <c r="G104" s="3">
        <f>(F69+H69)/2</f>
        <v>238224</v>
      </c>
      <c r="H104" s="3">
        <f>(H69+J69)/2</f>
        <v>231940</v>
      </c>
      <c r="I104" s="3">
        <f>H104</f>
        <v>231940</v>
      </c>
      <c r="J104" s="104">
        <f>(J69+R69)/2</f>
        <v>224740</v>
      </c>
      <c r="K104" s="3">
        <f>(J69+L69)/2</f>
        <v>228625.5</v>
      </c>
      <c r="L104" s="18">
        <f>(L69+N69+P69)/3</f>
        <v>224678</v>
      </c>
      <c r="M104" s="3">
        <f>(L69+N69)/2</f>
        <v>226371.5</v>
      </c>
      <c r="N104" s="18">
        <f>(N69+P69+R69)/3</f>
        <v>222087.66666666666</v>
      </c>
      <c r="O104" s="3">
        <f>(N69+P69)/2</f>
        <v>223541</v>
      </c>
      <c r="P104" s="3">
        <f>(P69+R69)/2</f>
        <v>220236</v>
      </c>
      <c r="Q104" s="3">
        <f>P104</f>
        <v>220236</v>
      </c>
      <c r="R104" s="104">
        <f>(R69+Z69)/2</f>
        <v>213147.5</v>
      </c>
      <c r="S104" s="3">
        <f>(R69+T69)/2</f>
        <v>217988</v>
      </c>
      <c r="T104" s="18">
        <f>(T69+V69+X69)/3</f>
        <v>214462.66666666666</v>
      </c>
      <c r="U104" s="3">
        <f>(T69+V69)/2</f>
        <v>215613.5</v>
      </c>
      <c r="V104" s="18">
        <f>(V69+X69+Z69)/3</f>
        <v>211235.66666666666</v>
      </c>
      <c r="W104" s="3">
        <f>(V69+X69)/2</f>
        <v>213296.5</v>
      </c>
      <c r="X104" s="3">
        <f>(X69+Z69)/2</f>
        <v>209637.5</v>
      </c>
      <c r="Y104" s="105">
        <f>X104</f>
        <v>209637.5</v>
      </c>
      <c r="Z104" s="104">
        <f>(Z69+AH69)/2</f>
        <v>199609.5</v>
      </c>
      <c r="AA104" s="3">
        <f>(Z69+AB69)/2</f>
        <v>205344.5</v>
      </c>
      <c r="AB104" s="18">
        <f>(AB69+AD69+AF69)/3</f>
        <v>199556.33333333334</v>
      </c>
      <c r="AC104" s="3">
        <f>(AB69+AD69)/2</f>
        <v>201100.5</v>
      </c>
      <c r="AD104" s="18">
        <f>(AD69+AF69+AH69)/3</f>
        <v>195733</v>
      </c>
      <c r="AE104" s="3">
        <f>(AD69+AF69)/2</f>
        <v>197547</v>
      </c>
      <c r="AF104" s="3">
        <f>(AF69+AH69)/2</f>
        <v>194286.5</v>
      </c>
      <c r="AG104" s="105">
        <f>AF104</f>
        <v>194286.5</v>
      </c>
      <c r="AH104" s="104">
        <v>182329.5</v>
      </c>
      <c r="AI104" s="3">
        <v>187559.5</v>
      </c>
      <c r="AJ104" s="18">
        <v>177193.75</v>
      </c>
      <c r="AK104" s="3">
        <v>180970.5</v>
      </c>
      <c r="AL104" s="18">
        <v>175253.66666666666</v>
      </c>
      <c r="AM104" s="3">
        <v>176603.5</v>
      </c>
      <c r="AN104" s="3">
        <v>173417</v>
      </c>
      <c r="AO104" s="105">
        <v>173417</v>
      </c>
      <c r="AP104" s="15"/>
      <c r="AQ104" s="15"/>
      <c r="AR104" s="15"/>
    </row>
    <row r="105" spans="1:51" ht="15.75" thickBot="1" x14ac:dyDescent="0.3">
      <c r="A105" s="42" t="s">
        <v>120</v>
      </c>
      <c r="B105" s="138">
        <f>B102/B104</f>
        <v>2.2332777288775969E-5</v>
      </c>
      <c r="C105" s="51">
        <f>C102/C104</f>
        <v>5.8095215670492554E-4</v>
      </c>
      <c r="D105" s="51">
        <f t="shared" ref="D105" si="140">D102/D104</f>
        <v>-1.7110877833983822E-4</v>
      </c>
      <c r="E105" s="51">
        <f t="shared" ref="E105:K105" si="141">E102/E104</f>
        <v>9.7738931113365628E-5</v>
      </c>
      <c r="F105" s="51">
        <f t="shared" si="141"/>
        <v>-3.1411523501337818E-4</v>
      </c>
      <c r="G105" s="51">
        <f t="shared" si="141"/>
        <v>-8.7312781247901139E-4</v>
      </c>
      <c r="H105" s="51">
        <f t="shared" si="141"/>
        <v>2.5868759161852203E-4</v>
      </c>
      <c r="I105" s="51">
        <f t="shared" si="141"/>
        <v>2.5868759161852203E-4</v>
      </c>
      <c r="J105" s="138">
        <f t="shared" si="141"/>
        <v>8.5432054818901837E-4</v>
      </c>
      <c r="K105" s="51">
        <f t="shared" si="141"/>
        <v>-4.1990066724840406E-4</v>
      </c>
      <c r="L105" s="51">
        <f t="shared" ref="L105" si="142">L102/L104</f>
        <v>1.2818344475204514E-3</v>
      </c>
      <c r="M105" s="51">
        <f>M102/M104</f>
        <v>6.5379254897370031E-4</v>
      </c>
      <c r="N105" s="51">
        <f t="shared" ref="N105" si="143">N102/N104</f>
        <v>1.6119760514991827E-3</v>
      </c>
      <c r="O105" s="51">
        <f>O102/O104</f>
        <v>1.037840932983211E-3</v>
      </c>
      <c r="P105" s="51">
        <f>P102/P104</f>
        <v>2.1976425289235183E-3</v>
      </c>
      <c r="Q105" s="51">
        <f>Q102/Q104</f>
        <v>2.1976425289235183E-3</v>
      </c>
      <c r="R105" s="138">
        <f>R102/R104</f>
        <v>9.523921228257428E-3</v>
      </c>
      <c r="S105" s="51">
        <f>S102/S104</f>
        <v>4.954401159696864E-3</v>
      </c>
      <c r="T105" s="51">
        <f t="shared" ref="T105" si="144">T102/T104</f>
        <v>1.0942075388412591E-2</v>
      </c>
      <c r="U105" s="51">
        <f>U102/U104</f>
        <v>6.8455824890370966E-3</v>
      </c>
      <c r="V105" s="51">
        <f t="shared" ref="V105:W105" si="145">V102/V104</f>
        <v>1.3170124363467661E-2</v>
      </c>
      <c r="W105" s="51">
        <f t="shared" si="145"/>
        <v>1.5583940664755399E-2</v>
      </c>
      <c r="X105" s="51">
        <f t="shared" ref="X105:Y105" si="146">X102/X104</f>
        <v>1.0685111203863812E-2</v>
      </c>
      <c r="Y105" s="139">
        <f t="shared" si="146"/>
        <v>1.0685111203863812E-2</v>
      </c>
      <c r="Z105" s="138">
        <f>Z102/Z104</f>
        <v>1.1772986756642344E-3</v>
      </c>
      <c r="AA105" s="51">
        <f>AA102/AA104</f>
        <v>2.7076449576199997E-3</v>
      </c>
      <c r="AB105" s="51">
        <f t="shared" ref="AB105" si="147">AB102/AB104</f>
        <v>6.414228897771556E-4</v>
      </c>
      <c r="AC105" s="51">
        <f>AC102/AC104</f>
        <v>1.3127764475970971E-3</v>
      </c>
      <c r="AD105" s="51">
        <f t="shared" ref="AD105:AE105" si="148">AD102/AD104</f>
        <v>3.0654003157362328E-4</v>
      </c>
      <c r="AE105" s="51">
        <f t="shared" si="148"/>
        <v>-3.8471857330154343E-4</v>
      </c>
      <c r="AF105" s="51">
        <f t="shared" ref="AF105:AG105" si="149">AF102/AF104</f>
        <v>1.0088194496272259E-3</v>
      </c>
      <c r="AG105" s="139">
        <f t="shared" si="149"/>
        <v>1.0088194496272259E-3</v>
      </c>
      <c r="AH105" s="138">
        <v>1.7770026243696165E-3</v>
      </c>
      <c r="AI105" s="51">
        <v>1.9620440446898183E-3</v>
      </c>
      <c r="AJ105" s="51">
        <v>1.7457350122864566E-3</v>
      </c>
      <c r="AK105" s="51">
        <v>1.3040799467316495E-3</v>
      </c>
      <c r="AL105" s="51">
        <v>1.9742810896966495E-3</v>
      </c>
      <c r="AM105" s="51">
        <v>2.2423111659734944E-3</v>
      </c>
      <c r="AN105" s="51">
        <v>1.7068684154379328E-3</v>
      </c>
      <c r="AO105" s="139">
        <v>1.7068684154379328E-3</v>
      </c>
      <c r="AP105" s="15"/>
      <c r="AQ105" s="15"/>
      <c r="AR105" s="15"/>
    </row>
    <row r="106" spans="1:51" x14ac:dyDescent="0.25">
      <c r="A106" s="15"/>
      <c r="B106" s="142"/>
      <c r="C106" s="15"/>
      <c r="D106" s="8"/>
      <c r="E106" s="8"/>
      <c r="F106" s="8"/>
      <c r="G106" s="8"/>
      <c r="H106" s="8"/>
      <c r="I106" s="8"/>
      <c r="J106" s="142"/>
      <c r="K106" s="15"/>
      <c r="L106" s="33"/>
      <c r="M106" s="15"/>
      <c r="N106" s="8"/>
      <c r="O106" s="8"/>
      <c r="P106" s="8"/>
      <c r="Q106" s="8"/>
      <c r="R106" s="142"/>
      <c r="S106" s="15"/>
      <c r="T106" s="33"/>
      <c r="U106" s="15"/>
      <c r="V106" s="33"/>
      <c r="W106" s="15"/>
      <c r="X106" s="8"/>
      <c r="Y106" s="8"/>
      <c r="Z106" s="33"/>
      <c r="AA106" s="15"/>
      <c r="AB106" s="33"/>
      <c r="AC106" s="15"/>
      <c r="AD106" s="33"/>
      <c r="AE106" s="15"/>
      <c r="AF106" s="8"/>
      <c r="AG106" s="8"/>
      <c r="AH106" s="137"/>
      <c r="AI106" s="5"/>
      <c r="AJ106" s="33"/>
      <c r="AK106" s="33"/>
      <c r="AL106" s="33"/>
      <c r="AM106" s="33"/>
      <c r="AN106" s="33"/>
      <c r="AO106" s="102"/>
      <c r="AP106" s="15"/>
      <c r="AQ106" s="15"/>
      <c r="AR106" s="15"/>
    </row>
    <row r="107" spans="1:51" x14ac:dyDescent="0.25">
      <c r="A107" s="30" t="s">
        <v>121</v>
      </c>
      <c r="B107" s="104">
        <f>(B71+J71)/2</f>
        <v>241627.93951794499</v>
      </c>
      <c r="C107" s="3">
        <f>(B71+D71)/2</f>
        <v>250597.04170087999</v>
      </c>
      <c r="D107" s="18">
        <f>(D71+F71+H71)/3</f>
        <v>241561.73478862332</v>
      </c>
      <c r="E107" s="3">
        <f>(D71+F71)/2</f>
        <v>245552.10218293499</v>
      </c>
      <c r="F107" s="18">
        <f>(F71+H71+J71)/3</f>
        <v>235582.33333333334</v>
      </c>
      <c r="G107" s="3">
        <f>(F71+H71)/2</f>
        <v>238224</v>
      </c>
      <c r="H107" s="3">
        <f>(H71+J71)/2</f>
        <v>231940</v>
      </c>
      <c r="I107" s="3">
        <f>H107</f>
        <v>231940</v>
      </c>
      <c r="J107" s="104">
        <f>(J71+R71)/2</f>
        <v>224740</v>
      </c>
      <c r="K107" s="3">
        <f>(J71+L71)/2</f>
        <v>228625.5</v>
      </c>
      <c r="L107" s="18">
        <f>(L71+N71+P71)/3</f>
        <v>224678</v>
      </c>
      <c r="M107" s="3">
        <f>(L71+N71)/2</f>
        <v>226371.5</v>
      </c>
      <c r="N107" s="18">
        <f>(N71+P71+R71)/3</f>
        <v>222087.66666666666</v>
      </c>
      <c r="O107" s="3">
        <f>(N71+P71)/2</f>
        <v>223541</v>
      </c>
      <c r="P107" s="3">
        <f>(P71+R71)/2</f>
        <v>220236</v>
      </c>
      <c r="Q107" s="3">
        <f>P107</f>
        <v>220236</v>
      </c>
      <c r="R107" s="104">
        <f>(R71+Z71)/2</f>
        <v>215269</v>
      </c>
      <c r="S107" s="3">
        <f>(R71+T71)/2</f>
        <v>219683</v>
      </c>
      <c r="T107" s="18">
        <f>(T71+V71+X71)/3</f>
        <v>218389.66666666666</v>
      </c>
      <c r="U107" s="3">
        <f>(T71+V71)/2</f>
        <v>219407.5</v>
      </c>
      <c r="V107" s="18">
        <f>(V71+X71+Z71)/3</f>
        <v>215447</v>
      </c>
      <c r="W107" s="3">
        <f>(V71+X71)/2</f>
        <v>217492</v>
      </c>
      <c r="X107" s="3">
        <f>(X71+Z71)/2</f>
        <v>213855.5</v>
      </c>
      <c r="Y107" s="105">
        <f>X107</f>
        <v>213855.5</v>
      </c>
      <c r="Z107" s="104">
        <f>(Z71+AH71)/2</f>
        <v>206378</v>
      </c>
      <c r="AA107" s="3">
        <f>(Z71+AB71)/2</f>
        <v>210605.5</v>
      </c>
      <c r="AB107" s="18">
        <f>(AB71+AD71+AF71)/3</f>
        <v>207591</v>
      </c>
      <c r="AC107" s="3">
        <f>(AB71+AD71)/2</f>
        <v>208683.5</v>
      </c>
      <c r="AD107" s="18">
        <f>(AD71+AF71+AH71)/3</f>
        <v>204772.66666666666</v>
      </c>
      <c r="AE107" s="3">
        <f>(AD71+AF71)/2</f>
        <v>206459.5</v>
      </c>
      <c r="AF107" s="3">
        <f>(AF71+AH71)/2</f>
        <v>203402.5</v>
      </c>
      <c r="AG107" s="105">
        <f>AF107</f>
        <v>203402.5</v>
      </c>
      <c r="AH107" s="104">
        <v>194268</v>
      </c>
      <c r="AI107" s="3">
        <v>198922</v>
      </c>
      <c r="AJ107" s="18">
        <v>191492</v>
      </c>
      <c r="AK107" s="3">
        <v>194959.5</v>
      </c>
      <c r="AL107" s="18">
        <v>189841</v>
      </c>
      <c r="AM107" s="3">
        <v>191193</v>
      </c>
      <c r="AN107" s="3">
        <v>188024.5</v>
      </c>
      <c r="AO107" s="105">
        <v>188024.5</v>
      </c>
      <c r="AP107" s="15"/>
      <c r="AQ107" s="15"/>
      <c r="AR107" s="15"/>
    </row>
    <row r="108" spans="1:51" s="21" customFormat="1" ht="15.75" thickBot="1" x14ac:dyDescent="0.3">
      <c r="A108" s="69" t="s">
        <v>122</v>
      </c>
      <c r="B108" s="114">
        <f>B102/B107</f>
        <v>2.2332777288775969E-5</v>
      </c>
      <c r="C108" s="51">
        <f>C102/C107</f>
        <v>5.8095215670492554E-4</v>
      </c>
      <c r="D108" s="51">
        <f>D102/D107+0.001%</f>
        <v>-1.6110877833983822E-4</v>
      </c>
      <c r="E108" s="51">
        <f t="shared" ref="E108" si="150">E102/E107</f>
        <v>9.7738931113365628E-5</v>
      </c>
      <c r="F108" s="51">
        <f t="shared" ref="F108:G108" si="151">F102/F107</f>
        <v>-3.1411523501337818E-4</v>
      </c>
      <c r="G108" s="51">
        <f t="shared" si="151"/>
        <v>-8.7312781247901139E-4</v>
      </c>
      <c r="H108" s="51">
        <f>H102/H107</f>
        <v>2.5868759161852203E-4</v>
      </c>
      <c r="I108" s="51">
        <f>I102/I107</f>
        <v>2.5868759161852203E-4</v>
      </c>
      <c r="J108" s="114">
        <f>J102/J107</f>
        <v>8.5432054818901837E-4</v>
      </c>
      <c r="K108" s="52">
        <f>K102/K107</f>
        <v>-4.1990066724840406E-4</v>
      </c>
      <c r="L108" s="51">
        <f>L102/L107+0.001%</f>
        <v>1.2918344475204514E-3</v>
      </c>
      <c r="M108" s="51">
        <f t="shared" ref="M108" si="152">M102/M107</f>
        <v>6.5379254897370031E-4</v>
      </c>
      <c r="N108" s="51">
        <f t="shared" ref="N108:O108" si="153">N102/N107</f>
        <v>1.6119760514991827E-3</v>
      </c>
      <c r="O108" s="51">
        <f t="shared" si="153"/>
        <v>1.037840932983211E-3</v>
      </c>
      <c r="P108" s="51">
        <f>P102/P107</f>
        <v>2.1976425289235183E-3</v>
      </c>
      <c r="Q108" s="51">
        <f>Q102/Q107</f>
        <v>2.1976425289235183E-3</v>
      </c>
      <c r="R108" s="114">
        <f>R102/R107</f>
        <v>9.4300619225248412E-3</v>
      </c>
      <c r="S108" s="52">
        <f>S102/S107</f>
        <v>4.9161746698652151E-3</v>
      </c>
      <c r="T108" s="51">
        <f>T102/T107+0.001%</f>
        <v>1.0755319146662921E-2</v>
      </c>
      <c r="U108" s="51">
        <f t="shared" ref="U108" si="154">U102/U107</f>
        <v>6.7272085047229467E-3</v>
      </c>
      <c r="V108" s="51">
        <f t="shared" ref="V108:W108" si="155">V102/V107</f>
        <v>1.2912688503437041E-2</v>
      </c>
      <c r="W108" s="51">
        <f t="shared" si="155"/>
        <v>1.5283320765821272E-2</v>
      </c>
      <c r="X108" s="51">
        <f t="shared" ref="X108:Y108" si="156">X102/X107</f>
        <v>1.0474362361501108E-2</v>
      </c>
      <c r="Y108" s="139">
        <f t="shared" si="156"/>
        <v>1.0474362361501108E-2</v>
      </c>
      <c r="Z108" s="114">
        <f>Z102/Z107</f>
        <v>1.1386872631772766E-3</v>
      </c>
      <c r="AA108" s="52">
        <f>AA102/AA107</f>
        <v>2.6400070273568353E-3</v>
      </c>
      <c r="AB108" s="51">
        <f t="shared" ref="AB108" si="157">AB102/AB107</f>
        <v>6.1659705863934368E-4</v>
      </c>
      <c r="AC108" s="51">
        <f t="shared" ref="AC108:AE108" si="158">AC102/AC107</f>
        <v>1.2650736641852374E-3</v>
      </c>
      <c r="AD108" s="51">
        <f t="shared" si="158"/>
        <v>2.9300785586618009E-4</v>
      </c>
      <c r="AE108" s="51">
        <f t="shared" si="158"/>
        <v>-3.6811093701185949E-4</v>
      </c>
      <c r="AF108" s="51">
        <f t="shared" ref="AF108:AG108" si="159">AF102/AF107</f>
        <v>9.636066420029252E-4</v>
      </c>
      <c r="AG108" s="139">
        <f t="shared" si="159"/>
        <v>9.636066420029252E-4</v>
      </c>
      <c r="AH108" s="114">
        <v>1.6677991228612021E-3</v>
      </c>
      <c r="AI108" s="52">
        <v>1.8499713455525282E-3</v>
      </c>
      <c r="AJ108" s="51">
        <v>1.6153851509897715E-3</v>
      </c>
      <c r="AK108" s="51">
        <v>1.2105078234197358E-3</v>
      </c>
      <c r="AL108" s="51">
        <v>1.822577841456798E-3</v>
      </c>
      <c r="AM108" s="51">
        <v>2.0712055357675228E-3</v>
      </c>
      <c r="AN108" s="51">
        <v>1.5742629285013388E-3</v>
      </c>
      <c r="AO108" s="139">
        <v>1.5742629285013388E-3</v>
      </c>
      <c r="AP108" s="41"/>
      <c r="AQ108" s="41"/>
      <c r="AR108" s="41"/>
    </row>
    <row r="109" spans="1:51" s="21" customFormat="1" x14ac:dyDescent="0.25">
      <c r="B109" s="169"/>
      <c r="D109" s="41"/>
      <c r="E109" s="41"/>
      <c r="F109" s="41"/>
      <c r="G109" s="41"/>
      <c r="H109" s="41"/>
      <c r="I109" s="41"/>
      <c r="J109" s="169"/>
      <c r="L109" s="60"/>
      <c r="N109" s="41"/>
      <c r="O109" s="41"/>
      <c r="P109" s="41"/>
      <c r="Q109" s="41"/>
      <c r="R109" s="169"/>
      <c r="T109" s="60"/>
      <c r="V109" s="60"/>
      <c r="X109" s="41"/>
      <c r="Y109" s="41"/>
      <c r="Z109" s="60"/>
      <c r="AB109" s="60"/>
      <c r="AD109" s="60"/>
      <c r="AF109" s="41"/>
      <c r="AG109" s="41"/>
      <c r="AH109" s="140"/>
      <c r="AI109" s="41"/>
      <c r="AJ109" s="60"/>
      <c r="AK109" s="60"/>
      <c r="AL109" s="60"/>
      <c r="AM109" s="60"/>
      <c r="AN109" s="60"/>
      <c r="AO109" s="141"/>
      <c r="AP109" s="41"/>
      <c r="AQ109" s="41"/>
      <c r="AR109" s="41"/>
    </row>
    <row r="110" spans="1:51" x14ac:dyDescent="0.25">
      <c r="A110" s="15" t="s">
        <v>123</v>
      </c>
      <c r="B110" s="197">
        <v>57532</v>
      </c>
      <c r="C110" s="2"/>
      <c r="D110" s="12">
        <v>56534</v>
      </c>
      <c r="E110" s="12"/>
      <c r="F110" s="12">
        <v>56118</v>
      </c>
      <c r="G110" s="12"/>
      <c r="H110" s="12">
        <v>52494</v>
      </c>
      <c r="I110" s="33"/>
      <c r="J110" s="197">
        <v>50058</v>
      </c>
      <c r="K110" s="2"/>
      <c r="L110" s="2">
        <v>48543</v>
      </c>
      <c r="M110" s="33"/>
      <c r="N110" s="12">
        <v>50708</v>
      </c>
      <c r="O110" s="12"/>
      <c r="P110" s="12">
        <v>46111</v>
      </c>
      <c r="Q110" s="33"/>
      <c r="R110" s="97">
        <v>43249</v>
      </c>
      <c r="S110" s="2"/>
      <c r="T110" s="2">
        <v>43144</v>
      </c>
      <c r="U110" s="33"/>
      <c r="V110" s="2">
        <v>44594</v>
      </c>
      <c r="W110" s="2"/>
      <c r="X110" s="12">
        <v>41790</v>
      </c>
      <c r="Y110" s="102"/>
      <c r="Z110" s="97">
        <v>37855</v>
      </c>
      <c r="AA110" s="2"/>
      <c r="AB110" s="2">
        <v>39520</v>
      </c>
      <c r="AC110" s="33"/>
      <c r="AD110" s="2">
        <v>41555</v>
      </c>
      <c r="AE110" s="2"/>
      <c r="AF110" s="12">
        <v>39931</v>
      </c>
      <c r="AG110" s="102"/>
      <c r="AH110" s="97">
        <v>38851</v>
      </c>
      <c r="AI110" s="2"/>
      <c r="AJ110" s="2">
        <v>40169</v>
      </c>
      <c r="AK110" s="48"/>
      <c r="AL110" s="2">
        <v>39353</v>
      </c>
      <c r="AM110" s="48"/>
      <c r="AN110" s="2">
        <v>36231</v>
      </c>
      <c r="AO110" s="98"/>
      <c r="AP110" s="15"/>
      <c r="AQ110" s="15"/>
      <c r="AR110" s="15"/>
    </row>
    <row r="111" spans="1:51" s="21" customFormat="1" x14ac:dyDescent="0.25">
      <c r="A111" s="41"/>
      <c r="B111" s="169"/>
      <c r="D111" s="41"/>
      <c r="E111" s="41"/>
      <c r="F111" s="41"/>
      <c r="G111" s="41"/>
      <c r="H111" s="41"/>
      <c r="I111" s="41"/>
      <c r="J111" s="169"/>
      <c r="L111" s="60"/>
      <c r="N111" s="41"/>
      <c r="O111" s="41"/>
      <c r="P111" s="41"/>
      <c r="Q111" s="41"/>
      <c r="R111" s="169"/>
      <c r="T111" s="60"/>
      <c r="V111" s="60"/>
      <c r="X111" s="41"/>
      <c r="Y111" s="41"/>
      <c r="Z111" s="60"/>
      <c r="AB111" s="60"/>
      <c r="AD111" s="60"/>
      <c r="AF111" s="41"/>
      <c r="AG111" s="41"/>
      <c r="AH111" s="140"/>
      <c r="AI111" s="41"/>
      <c r="AJ111" s="60"/>
      <c r="AK111" s="60"/>
      <c r="AL111" s="60"/>
      <c r="AM111" s="60"/>
      <c r="AN111" s="60"/>
      <c r="AO111" s="141"/>
      <c r="AP111" s="41"/>
      <c r="AQ111" s="41"/>
      <c r="AR111" s="41"/>
    </row>
    <row r="112" spans="1:51" ht="15" customHeight="1" x14ac:dyDescent="0.25">
      <c r="A112" s="15" t="s">
        <v>124</v>
      </c>
      <c r="B112" s="197">
        <v>14667</v>
      </c>
      <c r="C112" s="15"/>
      <c r="D112" s="54">
        <v>13534</v>
      </c>
      <c r="E112" s="54"/>
      <c r="F112" s="54">
        <v>10582</v>
      </c>
      <c r="G112" s="54"/>
      <c r="H112" s="54">
        <v>12330</v>
      </c>
      <c r="I112" s="8"/>
      <c r="J112" s="197">
        <v>12059</v>
      </c>
      <c r="K112" s="15"/>
      <c r="L112" s="48">
        <v>14698</v>
      </c>
      <c r="M112" s="15"/>
      <c r="N112" s="54">
        <v>13813</v>
      </c>
      <c r="O112" s="54"/>
      <c r="P112" s="54">
        <v>12644</v>
      </c>
      <c r="Q112" s="8"/>
      <c r="R112" s="197">
        <v>14072</v>
      </c>
      <c r="S112" s="15"/>
      <c r="T112" s="48">
        <v>13287</v>
      </c>
      <c r="U112" s="15"/>
      <c r="V112" s="48">
        <v>11653</v>
      </c>
      <c r="W112" s="15"/>
      <c r="X112" s="54">
        <v>14247</v>
      </c>
      <c r="Y112" s="8"/>
      <c r="Z112" s="48">
        <v>14376</v>
      </c>
      <c r="AA112" s="15"/>
      <c r="AB112" s="48">
        <v>14958</v>
      </c>
      <c r="AC112" s="15"/>
      <c r="AD112" s="48">
        <v>13525</v>
      </c>
      <c r="AE112" s="15"/>
      <c r="AF112" s="54">
        <v>13237</v>
      </c>
      <c r="AG112" s="8"/>
      <c r="AH112" s="142">
        <v>14289</v>
      </c>
      <c r="AI112" s="5"/>
      <c r="AJ112" s="2">
        <v>14413</v>
      </c>
      <c r="AK112" s="2"/>
      <c r="AL112" s="48">
        <v>13080</v>
      </c>
      <c r="AM112" s="2"/>
      <c r="AN112" s="48">
        <v>14027</v>
      </c>
      <c r="AO112" s="96"/>
      <c r="AP112" s="15"/>
      <c r="AQ112" s="15"/>
      <c r="AR112" s="15"/>
    </row>
    <row r="113" spans="1:130" ht="15" customHeight="1" x14ac:dyDescent="0.25">
      <c r="A113" s="15" t="s">
        <v>125</v>
      </c>
      <c r="B113" s="197">
        <v>2775</v>
      </c>
      <c r="C113" s="15"/>
      <c r="D113" s="176">
        <v>2054</v>
      </c>
      <c r="E113" s="176"/>
      <c r="F113" s="176">
        <v>2102</v>
      </c>
      <c r="G113" s="176"/>
      <c r="H113" s="176">
        <v>2029</v>
      </c>
      <c r="I113" s="8"/>
      <c r="J113" s="197">
        <v>1904</v>
      </c>
      <c r="K113" s="15"/>
      <c r="L113" s="48">
        <v>2566</v>
      </c>
      <c r="M113" s="15"/>
      <c r="N113" s="176">
        <v>2783</v>
      </c>
      <c r="O113" s="176"/>
      <c r="P113" s="176">
        <v>2801</v>
      </c>
      <c r="Q113" s="8"/>
      <c r="R113" s="197">
        <v>2208</v>
      </c>
      <c r="S113" s="15"/>
      <c r="T113" s="48">
        <v>2859</v>
      </c>
      <c r="U113" s="15"/>
      <c r="V113" s="48">
        <v>2616</v>
      </c>
      <c r="W113" s="15"/>
      <c r="X113" s="176">
        <v>2688</v>
      </c>
      <c r="Y113" s="8"/>
      <c r="Z113" s="48">
        <v>2698</v>
      </c>
      <c r="AA113" s="15"/>
      <c r="AB113" s="48">
        <v>2997</v>
      </c>
      <c r="AC113" s="15"/>
      <c r="AD113" s="48">
        <v>2805</v>
      </c>
      <c r="AE113" s="15"/>
      <c r="AF113" s="176">
        <v>2965</v>
      </c>
      <c r="AG113" s="8"/>
      <c r="AH113" s="142">
        <v>4224</v>
      </c>
      <c r="AI113" s="5"/>
      <c r="AJ113" s="2">
        <v>4941</v>
      </c>
      <c r="AK113" s="2"/>
      <c r="AL113" s="48">
        <v>4685</v>
      </c>
      <c r="AM113" s="2"/>
      <c r="AN113" s="48">
        <v>4549</v>
      </c>
      <c r="AO113" s="96"/>
      <c r="AP113" s="15"/>
      <c r="AQ113" s="15"/>
      <c r="AR113" s="15"/>
    </row>
    <row r="114" spans="1:130" ht="30.75" thickBot="1" x14ac:dyDescent="0.3">
      <c r="A114" s="69" t="s">
        <v>126</v>
      </c>
      <c r="B114" s="138">
        <f>(B112+B113)/B69</f>
        <v>6.8952463623356511E-2</v>
      </c>
      <c r="C114" s="69"/>
      <c r="D114" s="51">
        <f>(D112+D113)/D69</f>
        <v>6.2794777438055879E-2</v>
      </c>
      <c r="E114" s="51"/>
      <c r="F114" s="51">
        <f>(F112+F113)/F69</f>
        <v>5.2226115528252091E-2</v>
      </c>
      <c r="G114" s="51"/>
      <c r="H114" s="51">
        <f>(H112+H113)/H69</f>
        <v>6.1473321888338518E-2</v>
      </c>
      <c r="I114" s="51"/>
      <c r="J114" s="138">
        <f>(J112+J113)/J69</f>
        <v>6.06298768123179E-2</v>
      </c>
      <c r="K114" s="69"/>
      <c r="L114" s="51">
        <f>(L112+L113)/L69</f>
        <v>7.6068948500123371E-2</v>
      </c>
      <c r="M114" s="69"/>
      <c r="N114" s="51">
        <f>(N112+N113)/N69</f>
        <v>7.3501601038128181E-2</v>
      </c>
      <c r="O114" s="51"/>
      <c r="P114" s="51">
        <f>(P112+P113)/P69</f>
        <v>6.9794975846283858E-2</v>
      </c>
      <c r="Q114" s="51"/>
      <c r="R114" s="138">
        <f>(R112+R113)/R69</f>
        <v>7.4276511193944725E-2</v>
      </c>
      <c r="S114" s="69"/>
      <c r="T114" s="51">
        <f>(T112+T113)/T69</f>
        <v>7.4475887359025814E-2</v>
      </c>
      <c r="U114" s="69"/>
      <c r="V114" s="51">
        <f>(V112+V113)/V69</f>
        <v>6.6543239814952998E-2</v>
      </c>
      <c r="W114" s="69"/>
      <c r="X114" s="51">
        <f>(X112+X113)/X69</f>
        <v>7.9821456346830938E-2</v>
      </c>
      <c r="Y114" s="51"/>
      <c r="Z114" s="138">
        <f>(Z112+Z113)/Z69</f>
        <v>8.2437691319756271E-2</v>
      </c>
      <c r="AA114" s="69"/>
      <c r="AB114" s="51">
        <f>(AB112+AB113)/AB69</f>
        <v>8.8198452658725279E-2</v>
      </c>
      <c r="AC114" s="69"/>
      <c r="AD114" s="51">
        <f>(AD112+AD113)/AD69</f>
        <v>8.2214815784439094E-2</v>
      </c>
      <c r="AE114" s="69"/>
      <c r="AF114" s="51">
        <f>(AF112+AF113)/AF69</f>
        <v>8.2466355844208722E-2</v>
      </c>
      <c r="AG114" s="51"/>
      <c r="AH114" s="138">
        <v>9.6369173108456316E-2</v>
      </c>
      <c r="AI114" s="51"/>
      <c r="AJ114" s="51">
        <v>0.10575147256494039</v>
      </c>
      <c r="AK114" s="51"/>
      <c r="AL114" s="51">
        <v>9.9286301117215398E-2</v>
      </c>
      <c r="AM114" s="51"/>
      <c r="AN114" s="51">
        <v>0.10658710121643332</v>
      </c>
      <c r="AO114" s="131"/>
      <c r="AP114" s="15"/>
      <c r="AQ114" s="15"/>
      <c r="AR114" s="15"/>
      <c r="AS114"/>
      <c r="AT114"/>
      <c r="AU114"/>
      <c r="AV114"/>
      <c r="AW114"/>
      <c r="AX114"/>
      <c r="AY114"/>
      <c r="AZ114"/>
      <c r="BA114"/>
      <c r="BB114"/>
      <c r="BC114"/>
      <c r="BD114"/>
      <c r="BE114"/>
      <c r="BF114"/>
      <c r="BG114"/>
      <c r="BH114"/>
      <c r="BI114"/>
      <c r="BJ114"/>
      <c r="BK114"/>
      <c r="BL114"/>
      <c r="BM114"/>
      <c r="BN114"/>
      <c r="BO114"/>
      <c r="BP114"/>
      <c r="BQ114"/>
      <c r="BR114"/>
      <c r="BS114"/>
      <c r="BT114"/>
      <c r="BU114"/>
      <c r="BV114"/>
      <c r="BW114"/>
      <c r="BX114"/>
      <c r="BY114"/>
      <c r="BZ114"/>
      <c r="CA114"/>
      <c r="CB114"/>
      <c r="CC114"/>
      <c r="CD114"/>
      <c r="CE114"/>
      <c r="CF114"/>
      <c r="CG114"/>
      <c r="CH114"/>
      <c r="CI114"/>
      <c r="CJ114"/>
      <c r="CK114"/>
      <c r="CL114"/>
      <c r="CM114"/>
      <c r="CN114"/>
      <c r="CO114"/>
      <c r="CP114"/>
      <c r="CQ114"/>
      <c r="CR114"/>
      <c r="CS114"/>
      <c r="CT114"/>
      <c r="CU114"/>
      <c r="CV114"/>
      <c r="CW114"/>
      <c r="CX114"/>
      <c r="CY114"/>
      <c r="CZ114"/>
      <c r="DA114"/>
      <c r="DB114"/>
      <c r="DC114"/>
      <c r="DD114"/>
      <c r="DE114"/>
      <c r="DF114"/>
      <c r="DG114"/>
      <c r="DH114"/>
      <c r="DI114"/>
      <c r="DJ114"/>
      <c r="DK114"/>
      <c r="DL114"/>
      <c r="DM114"/>
      <c r="DN114"/>
      <c r="DO114"/>
      <c r="DP114"/>
      <c r="DQ114"/>
      <c r="DR114"/>
      <c r="DS114"/>
      <c r="DT114"/>
      <c r="DU114"/>
      <c r="DV114"/>
      <c r="DW114"/>
      <c r="DX114"/>
      <c r="DY114"/>
      <c r="DZ114"/>
    </row>
    <row r="115" spans="1:130" ht="15" customHeight="1" x14ac:dyDescent="0.25">
      <c r="A115" s="29"/>
      <c r="B115" s="143"/>
      <c r="C115" s="29"/>
      <c r="D115" s="65"/>
      <c r="E115" s="65"/>
      <c r="F115" s="65"/>
      <c r="G115" s="65"/>
      <c r="H115" s="65"/>
      <c r="I115"/>
      <c r="J115" s="143"/>
      <c r="K115" s="29"/>
      <c r="L115" s="65"/>
      <c r="M115" s="29"/>
      <c r="N115" s="65"/>
      <c r="O115" s="65"/>
      <c r="P115" s="65"/>
      <c r="Q115"/>
      <c r="R115" s="143"/>
      <c r="S115" s="29"/>
      <c r="T115" s="65"/>
      <c r="U115" s="29"/>
      <c r="V115" s="65"/>
      <c r="W115" s="29"/>
      <c r="X115" s="65"/>
      <c r="Y115"/>
      <c r="Z115" s="65"/>
      <c r="AA115" s="29"/>
      <c r="AB115" s="65"/>
      <c r="AC115" s="29"/>
      <c r="AD115" s="65"/>
      <c r="AE115" s="29"/>
      <c r="AF115" s="65"/>
      <c r="AG115"/>
      <c r="AH115" s="143"/>
      <c r="AI115"/>
      <c r="AJ115" s="65"/>
      <c r="AK115"/>
      <c r="AL115" s="65"/>
      <c r="AM115"/>
      <c r="AN115" s="65"/>
      <c r="AO115" s="131"/>
      <c r="AP115" s="15"/>
      <c r="AQ115" s="15"/>
      <c r="AR115" s="15"/>
      <c r="AS115"/>
      <c r="AT115"/>
      <c r="AU115"/>
      <c r="AV115"/>
      <c r="AW115"/>
      <c r="AX115"/>
      <c r="AY115"/>
      <c r="AZ115"/>
      <c r="BA115"/>
      <c r="BB115"/>
      <c r="BC115"/>
      <c r="BD115"/>
      <c r="BE115"/>
      <c r="BF115"/>
      <c r="BG115"/>
      <c r="BH115"/>
      <c r="BI115"/>
      <c r="BJ115"/>
      <c r="BK115"/>
      <c r="BL115"/>
      <c r="BM115"/>
      <c r="BN115"/>
      <c r="BO115"/>
      <c r="BP115"/>
      <c r="BQ115"/>
      <c r="BR115"/>
      <c r="BS115"/>
      <c r="BT115"/>
      <c r="BU115"/>
      <c r="BV115"/>
      <c r="BW115"/>
      <c r="BX115"/>
      <c r="BY115"/>
      <c r="BZ115"/>
      <c r="CA115"/>
      <c r="CB115"/>
      <c r="CC115"/>
      <c r="CD115"/>
      <c r="CE115"/>
      <c r="CF115"/>
      <c r="CG115"/>
      <c r="CH115"/>
      <c r="CI115"/>
      <c r="CJ115"/>
      <c r="CK115"/>
      <c r="CL115"/>
      <c r="CM115"/>
      <c r="CN115"/>
      <c r="CO115"/>
      <c r="CP115"/>
      <c r="CQ115"/>
      <c r="CR115"/>
      <c r="CS115"/>
      <c r="CT115"/>
      <c r="CU115"/>
      <c r="CV115"/>
      <c r="CW115"/>
      <c r="CX115"/>
      <c r="CY115"/>
      <c r="CZ115"/>
      <c r="DA115"/>
      <c r="DB115"/>
      <c r="DC115"/>
      <c r="DD115"/>
      <c r="DE115"/>
      <c r="DF115"/>
      <c r="DG115"/>
      <c r="DH115"/>
      <c r="DI115"/>
      <c r="DJ115"/>
      <c r="DK115"/>
      <c r="DL115"/>
      <c r="DM115"/>
      <c r="DN115"/>
      <c r="DO115"/>
      <c r="DP115"/>
      <c r="DQ115"/>
      <c r="DR115"/>
      <c r="DS115"/>
      <c r="DT115"/>
      <c r="DU115"/>
      <c r="DV115"/>
      <c r="DW115"/>
      <c r="DX115"/>
      <c r="DY115"/>
      <c r="DZ115"/>
    </row>
    <row r="116" spans="1:130" ht="30.75" thickBot="1" x14ac:dyDescent="0.3">
      <c r="A116" s="69" t="s">
        <v>127</v>
      </c>
      <c r="B116" s="138">
        <f>(B112+B113)/B71</f>
        <v>6.8952463623356511E-2</v>
      </c>
      <c r="C116" s="69"/>
      <c r="D116" s="51">
        <f>(D112+D113)/D71</f>
        <v>6.2794777438055879E-2</v>
      </c>
      <c r="E116" s="51"/>
      <c r="F116" s="51">
        <f>(F112+F113)/F71</f>
        <v>5.2226115528252091E-2</v>
      </c>
      <c r="G116" s="51"/>
      <c r="H116" s="51">
        <f>(H112+H113)/H71</f>
        <v>6.1473321888338518E-2</v>
      </c>
      <c r="I116" s="51"/>
      <c r="J116" s="138">
        <f>(J112+J113)/J71</f>
        <v>6.06298768123179E-2</v>
      </c>
      <c r="K116" s="69"/>
      <c r="L116" s="51">
        <f>(L112+L113)/L71</f>
        <v>7.6068948500123371E-2</v>
      </c>
      <c r="M116" s="69"/>
      <c r="N116" s="51">
        <f>(N112+N113)/N71</f>
        <v>7.3501601038128181E-2</v>
      </c>
      <c r="O116" s="51"/>
      <c r="P116" s="51">
        <f>(P112+P113)/P71</f>
        <v>6.9794975846283858E-2</v>
      </c>
      <c r="Q116" s="51"/>
      <c r="R116" s="138">
        <f>(R112+R113)/R71</f>
        <v>7.4276511193944725E-2</v>
      </c>
      <c r="S116" s="69"/>
      <c r="T116" s="51">
        <f>(T112+T113)/T71</f>
        <v>7.3329245861434703E-2</v>
      </c>
      <c r="U116" s="69"/>
      <c r="V116" s="51">
        <f>(V112+V113)/V71</f>
        <v>6.5265517083657326E-2</v>
      </c>
      <c r="W116" s="69"/>
      <c r="X116" s="51">
        <f>(X112+X113)/X71</f>
        <v>7.8274494578329953E-2</v>
      </c>
      <c r="Y116" s="51"/>
      <c r="Z116" s="138">
        <f>(Z112+Z113)/Z71</f>
        <v>8.0782751458432889E-2</v>
      </c>
      <c r="AA116" s="69"/>
      <c r="AB116" s="51">
        <f>(AB112+AB113)/AB71</f>
        <v>8.5559484212833686E-2</v>
      </c>
      <c r="AC116" s="69"/>
      <c r="AD116" s="51">
        <f>(AD112+AD113)/AD71</f>
        <v>7.8693864962677038E-2</v>
      </c>
      <c r="AE116" s="69"/>
      <c r="AF116" s="51">
        <f>(AF112+AF113)/AF71</f>
        <v>7.8877929563888102E-2</v>
      </c>
      <c r="AG116" s="51"/>
      <c r="AH116" s="138">
        <v>9.1922005571030641E-2</v>
      </c>
      <c r="AI116" s="51"/>
      <c r="AJ116" s="51">
        <v>9.8521214589325251E-2</v>
      </c>
      <c r="AK116" s="51"/>
      <c r="AL116" s="51">
        <v>9.1821123251703066E-2</v>
      </c>
      <c r="AM116" s="51"/>
      <c r="AN116" s="51">
        <v>9.8331498263741851E-2</v>
      </c>
      <c r="AO116" s="131"/>
      <c r="AP116" s="15"/>
      <c r="AQ116" s="15"/>
      <c r="AR116" s="15"/>
      <c r="AS116"/>
      <c r="AT116"/>
      <c r="AU116"/>
      <c r="AV116"/>
      <c r="AW116"/>
      <c r="AX116"/>
      <c r="AY116"/>
      <c r="AZ116"/>
      <c r="BA116"/>
      <c r="BB116"/>
      <c r="BC116"/>
      <c r="BD116"/>
      <c r="BE116"/>
      <c r="BF116"/>
      <c r="BG116"/>
      <c r="BH116"/>
      <c r="BI116"/>
      <c r="BJ116"/>
      <c r="BK116"/>
      <c r="BL116"/>
      <c r="BM116"/>
      <c r="BN116"/>
      <c r="BO116"/>
      <c r="BP116"/>
      <c r="BQ116"/>
      <c r="BR116"/>
      <c r="BS116"/>
      <c r="BT116"/>
      <c r="BU116"/>
      <c r="BV116"/>
      <c r="BW116"/>
      <c r="BX116"/>
      <c r="BY116"/>
      <c r="BZ116"/>
      <c r="CA116"/>
      <c r="CB116"/>
      <c r="CC116"/>
      <c r="CD116"/>
      <c r="CE116"/>
      <c r="CF116"/>
      <c r="CG116"/>
      <c r="CH116"/>
      <c r="CI116"/>
      <c r="CJ116"/>
      <c r="CK116"/>
      <c r="CL116"/>
      <c r="CM116"/>
      <c r="CN116"/>
      <c r="CO116"/>
      <c r="CP116"/>
      <c r="CQ116"/>
      <c r="CR116"/>
      <c r="CS116"/>
      <c r="CT116"/>
      <c r="CU116"/>
      <c r="CV116"/>
      <c r="CW116"/>
      <c r="CX116"/>
      <c r="CY116"/>
      <c r="CZ116"/>
      <c r="DA116"/>
      <c r="DB116"/>
      <c r="DC116"/>
      <c r="DD116"/>
      <c r="DE116"/>
      <c r="DF116"/>
      <c r="DG116"/>
      <c r="DH116"/>
      <c r="DI116"/>
      <c r="DJ116"/>
      <c r="DK116"/>
      <c r="DL116"/>
      <c r="DM116"/>
      <c r="DN116"/>
      <c r="DO116"/>
      <c r="DP116"/>
      <c r="DQ116"/>
      <c r="DR116"/>
      <c r="DS116"/>
      <c r="DT116"/>
      <c r="DU116"/>
      <c r="DV116"/>
      <c r="DW116"/>
      <c r="DX116"/>
      <c r="DY116"/>
      <c r="DZ116"/>
    </row>
    <row r="117" spans="1:130" x14ac:dyDescent="0.25">
      <c r="A117" s="184"/>
      <c r="B117" s="170"/>
      <c r="C117" s="184"/>
      <c r="D117" s="61"/>
      <c r="E117" s="61"/>
      <c r="F117" s="61"/>
      <c r="G117" s="61"/>
      <c r="H117" s="61"/>
      <c r="I117" s="61"/>
      <c r="J117" s="170"/>
      <c r="K117" s="184"/>
      <c r="L117" s="61"/>
      <c r="M117" s="184"/>
      <c r="N117" s="61"/>
      <c r="O117" s="61"/>
      <c r="P117" s="61"/>
      <c r="Q117" s="61"/>
      <c r="R117" s="170"/>
      <c r="S117" s="184"/>
      <c r="T117" s="61"/>
      <c r="U117" s="184"/>
      <c r="V117" s="61"/>
      <c r="W117" s="184"/>
      <c r="X117" s="61"/>
      <c r="Y117" s="61"/>
      <c r="Z117" s="61"/>
      <c r="AA117" s="184"/>
      <c r="AB117" s="61"/>
      <c r="AC117" s="184"/>
      <c r="AD117" s="61"/>
      <c r="AE117" s="184"/>
      <c r="AF117" s="61"/>
      <c r="AG117" s="61"/>
      <c r="AH117" s="170"/>
      <c r="AI117" s="61"/>
      <c r="AJ117" s="61"/>
      <c r="AK117" s="61"/>
      <c r="AL117" s="61"/>
      <c r="AM117" s="61"/>
      <c r="AN117" s="61"/>
      <c r="AO117" s="131"/>
      <c r="AP117" s="15"/>
      <c r="AQ117" s="15"/>
      <c r="AR117" s="15"/>
      <c r="AS117"/>
      <c r="AT117"/>
      <c r="AU117"/>
      <c r="AV117"/>
      <c r="AW117"/>
      <c r="AX117"/>
      <c r="AY117"/>
      <c r="AZ117"/>
      <c r="BA117"/>
      <c r="BB117"/>
      <c r="BC117"/>
      <c r="BD117"/>
      <c r="BE117"/>
      <c r="BF117"/>
      <c r="BG117"/>
      <c r="BH117"/>
      <c r="BI117"/>
      <c r="BJ117"/>
      <c r="BK117"/>
      <c r="BL117"/>
      <c r="BM117"/>
      <c r="BN117"/>
      <c r="BO117"/>
      <c r="BP117"/>
      <c r="BQ117"/>
      <c r="BR117"/>
      <c r="BS117"/>
      <c r="BT117"/>
      <c r="BU117"/>
      <c r="BV117"/>
      <c r="BW117"/>
      <c r="BX117"/>
      <c r="BY117"/>
      <c r="BZ117"/>
      <c r="CA117"/>
      <c r="CB117"/>
      <c r="CC117"/>
      <c r="CD117"/>
      <c r="CE117"/>
      <c r="CF117"/>
      <c r="CG117"/>
      <c r="CH117"/>
      <c r="CI117"/>
      <c r="CJ117"/>
      <c r="CK117"/>
      <c r="CL117"/>
      <c r="CM117"/>
      <c r="CN117"/>
      <c r="CO117"/>
      <c r="CP117"/>
      <c r="CQ117"/>
      <c r="CR117"/>
      <c r="CS117"/>
      <c r="CT117"/>
      <c r="CU117"/>
      <c r="CV117"/>
      <c r="CW117"/>
      <c r="CX117"/>
      <c r="CY117"/>
      <c r="CZ117"/>
      <c r="DA117"/>
      <c r="DB117"/>
      <c r="DC117"/>
      <c r="DD117"/>
      <c r="DE117"/>
      <c r="DF117"/>
      <c r="DG117"/>
      <c r="DH117"/>
      <c r="DI117"/>
      <c r="DJ117"/>
      <c r="DK117"/>
      <c r="DL117"/>
      <c r="DM117"/>
      <c r="DN117"/>
      <c r="DO117"/>
      <c r="DP117"/>
      <c r="DQ117"/>
      <c r="DR117"/>
      <c r="DS117"/>
      <c r="DT117"/>
      <c r="DU117"/>
      <c r="DV117"/>
      <c r="DW117"/>
      <c r="DX117"/>
      <c r="DY117"/>
      <c r="DZ117"/>
    </row>
    <row r="118" spans="1:130" ht="30.75" thickBot="1" x14ac:dyDescent="0.3">
      <c r="A118" s="69" t="s">
        <v>128</v>
      </c>
      <c r="B118" s="138">
        <f>(B112+B113)/(B69+B110)</f>
        <v>5.6175925057798434E-2</v>
      </c>
      <c r="C118" s="69"/>
      <c r="D118" s="51">
        <f>(D112+D113)/(D69+D110)</f>
        <v>5.1146564297088276E-2</v>
      </c>
      <c r="E118" s="51"/>
      <c r="F118" s="51">
        <f>(F112+F113)/(F69+F110)</f>
        <v>4.2423532953158184E-2</v>
      </c>
      <c r="G118" s="51"/>
      <c r="H118" s="51">
        <f>(H112+H113)/(H69+H110)</f>
        <v>5.0193131171895479E-2</v>
      </c>
      <c r="I118" s="51"/>
      <c r="J118" s="138">
        <f>(J112+J113)/(J69+J110)</f>
        <v>4.9804356588207178E-2</v>
      </c>
      <c r="K118" s="69"/>
      <c r="L118" s="51">
        <f>(L112+L113)/(L69+L110)</f>
        <v>6.2665384126753668E-2</v>
      </c>
      <c r="M118" s="69"/>
      <c r="N118" s="51">
        <f>(N112+N113)/(N69+N110)</f>
        <v>6.0021916896625303E-2</v>
      </c>
      <c r="O118" s="51"/>
      <c r="P118" s="51">
        <f>(P112+P113)/(P69+P110)</f>
        <v>5.7759478238756629E-2</v>
      </c>
      <c r="Q118" s="51"/>
      <c r="R118" s="138">
        <f>(R112+R113)/(R69+R110)</f>
        <v>6.2035590443165797E-2</v>
      </c>
      <c r="S118" s="69"/>
      <c r="T118" s="51">
        <f>(T112+T113)/(T69+T110)</f>
        <v>6.2114573034442698E-2</v>
      </c>
      <c r="U118" s="69"/>
      <c r="V118" s="51">
        <f>(V112+V113)/(V69+V110)</f>
        <v>5.5087134110089336E-2</v>
      </c>
      <c r="W118" s="69"/>
      <c r="X118" s="51">
        <f>(X112+X113)/(X69+X110)</f>
        <v>6.6686092986442264E-2</v>
      </c>
      <c r="Y118" s="51"/>
      <c r="Z118" s="138">
        <f>(Z112+Z113)/(Z69+Z110)</f>
        <v>6.9698614926786653E-2</v>
      </c>
      <c r="AA118" s="69"/>
      <c r="AB118" s="51">
        <f>(AB112+AB113)/(AB69+AB110)</f>
        <v>7.3860013574939834E-2</v>
      </c>
      <c r="AC118" s="69"/>
      <c r="AD118" s="51">
        <f>(AD112+AD113)/(AD69+AD110)</f>
        <v>6.7990390580437252E-2</v>
      </c>
      <c r="AE118" s="69"/>
      <c r="AF118" s="51">
        <f>(AF112+AF113)/(AF69+AF110)</f>
        <v>6.8536668936839837E-2</v>
      </c>
      <c r="AG118" s="51"/>
      <c r="AH118" s="138">
        <v>8.0158125357210896E-2</v>
      </c>
      <c r="AI118" s="51"/>
      <c r="AJ118" s="51">
        <v>8.6718074405308654E-2</v>
      </c>
      <c r="AK118" s="51"/>
      <c r="AL118" s="51">
        <v>8.1386292834890961E-2</v>
      </c>
      <c r="AM118" s="51"/>
      <c r="AN118" s="51">
        <v>8.8242419636028524E-2</v>
      </c>
      <c r="AO118" s="131"/>
      <c r="AP118" s="15"/>
      <c r="AQ118" s="15"/>
      <c r="AR118" s="15"/>
      <c r="AS118"/>
      <c r="AT118"/>
      <c r="AU118"/>
      <c r="AV118"/>
      <c r="AW118"/>
      <c r="AX118"/>
      <c r="AY118"/>
      <c r="AZ118"/>
      <c r="BA118"/>
      <c r="BB118"/>
      <c r="BC118"/>
      <c r="BD118"/>
      <c r="BE118"/>
      <c r="BF118"/>
      <c r="BG118"/>
      <c r="BH118"/>
      <c r="BI118"/>
      <c r="BJ118"/>
      <c r="BK118"/>
      <c r="BL118"/>
      <c r="BM118"/>
      <c r="BN118"/>
      <c r="BO118"/>
      <c r="BP118"/>
      <c r="BQ118"/>
      <c r="BR118"/>
      <c r="BS118"/>
      <c r="BT118"/>
      <c r="BU118"/>
      <c r="BV118"/>
      <c r="BW118"/>
      <c r="BX118"/>
      <c r="BY118"/>
      <c r="BZ118"/>
      <c r="CA118"/>
      <c r="CB118"/>
      <c r="CC118"/>
      <c r="CD118"/>
      <c r="CE118"/>
      <c r="CF118"/>
      <c r="CG118"/>
      <c r="CH118"/>
      <c r="CI118"/>
      <c r="CJ118"/>
      <c r="CK118"/>
      <c r="CL118"/>
      <c r="CM118"/>
      <c r="CN118"/>
      <c r="CO118"/>
      <c r="CP118"/>
      <c r="CQ118"/>
      <c r="CR118"/>
      <c r="CS118"/>
      <c r="CT118"/>
      <c r="CU118"/>
      <c r="CV118"/>
      <c r="CW118"/>
      <c r="CX118"/>
      <c r="CY118"/>
      <c r="CZ118"/>
      <c r="DA118"/>
      <c r="DB118"/>
      <c r="DC118"/>
      <c r="DD118"/>
      <c r="DE118"/>
      <c r="DF118"/>
      <c r="DG118"/>
      <c r="DH118"/>
      <c r="DI118"/>
      <c r="DJ118"/>
      <c r="DK118"/>
      <c r="DL118"/>
      <c r="DM118"/>
      <c r="DN118"/>
      <c r="DO118"/>
      <c r="DP118"/>
      <c r="DQ118"/>
      <c r="DR118"/>
      <c r="DS118"/>
      <c r="DT118"/>
      <c r="DU118"/>
      <c r="DV118"/>
      <c r="DW118"/>
      <c r="DX118"/>
      <c r="DY118"/>
      <c r="DZ118"/>
    </row>
    <row r="119" spans="1:130" x14ac:dyDescent="0.25">
      <c r="A119" s="184"/>
      <c r="B119" s="170"/>
      <c r="C119" s="184"/>
      <c r="D119" s="61"/>
      <c r="E119" s="61"/>
      <c r="F119" s="61"/>
      <c r="G119" s="61"/>
      <c r="H119" s="61"/>
      <c r="I119" s="61"/>
      <c r="J119" s="170"/>
      <c r="K119" s="184"/>
      <c r="L119" s="61"/>
      <c r="M119" s="184"/>
      <c r="N119" s="61"/>
      <c r="O119" s="61"/>
      <c r="P119" s="61"/>
      <c r="Q119" s="61"/>
      <c r="R119" s="170"/>
      <c r="S119" s="184"/>
      <c r="T119" s="61"/>
      <c r="U119" s="184"/>
      <c r="V119" s="61"/>
      <c r="W119" s="184"/>
      <c r="X119" s="61"/>
      <c r="Y119" s="61"/>
      <c r="Z119" s="61"/>
      <c r="AA119" s="184"/>
      <c r="AB119" s="61"/>
      <c r="AC119" s="184"/>
      <c r="AD119" s="61"/>
      <c r="AE119" s="184"/>
      <c r="AF119" s="61"/>
      <c r="AG119" s="61"/>
      <c r="AH119" s="170"/>
      <c r="AI119" s="61"/>
      <c r="AJ119" s="61"/>
      <c r="AK119" s="61"/>
      <c r="AL119" s="61"/>
      <c r="AM119" s="61"/>
      <c r="AN119" s="61"/>
      <c r="AO119" s="131"/>
      <c r="AP119" s="15"/>
      <c r="AQ119" s="15"/>
      <c r="AR119" s="15"/>
      <c r="AS119"/>
      <c r="AT119"/>
      <c r="AU119"/>
      <c r="AV119"/>
      <c r="AW119"/>
      <c r="AX119"/>
      <c r="AY119"/>
      <c r="AZ119"/>
      <c r="BA119"/>
      <c r="BB119"/>
      <c r="BC119"/>
      <c r="BD119"/>
      <c r="BE119"/>
      <c r="BF119"/>
      <c r="BG119"/>
      <c r="BH119"/>
      <c r="BI119"/>
      <c r="BJ119"/>
      <c r="BK119"/>
      <c r="BL119"/>
      <c r="BM119"/>
      <c r="BN119"/>
      <c r="BO119"/>
      <c r="BP119"/>
      <c r="BQ119"/>
      <c r="BR119"/>
      <c r="BS119"/>
      <c r="BT119"/>
      <c r="BU119"/>
      <c r="BV119"/>
      <c r="BW119"/>
      <c r="BX119"/>
      <c r="BY119"/>
      <c r="BZ119"/>
      <c r="CA119"/>
      <c r="CB119"/>
      <c r="CC119"/>
      <c r="CD119"/>
      <c r="CE119"/>
      <c r="CF119"/>
      <c r="CG119"/>
      <c r="CH119"/>
      <c r="CI119"/>
      <c r="CJ119"/>
      <c r="CK119"/>
      <c r="CL119"/>
      <c r="CM119"/>
      <c r="CN119"/>
      <c r="CO119"/>
      <c r="CP119"/>
      <c r="CQ119"/>
      <c r="CR119"/>
      <c r="CS119"/>
      <c r="CT119"/>
      <c r="CU119"/>
      <c r="CV119"/>
      <c r="CW119"/>
      <c r="CX119"/>
      <c r="CY119"/>
      <c r="CZ119"/>
      <c r="DA119"/>
      <c r="DB119"/>
      <c r="DC119"/>
      <c r="DD119"/>
      <c r="DE119"/>
      <c r="DF119"/>
      <c r="DG119"/>
      <c r="DH119"/>
      <c r="DI119"/>
      <c r="DJ119"/>
      <c r="DK119"/>
      <c r="DL119"/>
      <c r="DM119"/>
      <c r="DN119"/>
      <c r="DO119"/>
      <c r="DP119"/>
      <c r="DQ119"/>
      <c r="DR119"/>
      <c r="DS119"/>
      <c r="DT119"/>
      <c r="DU119"/>
      <c r="DV119"/>
      <c r="DW119"/>
      <c r="DX119"/>
      <c r="DY119"/>
      <c r="DZ119"/>
    </row>
    <row r="120" spans="1:130" ht="30.75" customHeight="1" thickBot="1" x14ac:dyDescent="0.3">
      <c r="A120" s="69" t="s">
        <v>129</v>
      </c>
      <c r="B120" s="138">
        <f>(B112+B113)/(B71+B110)</f>
        <v>5.6175925057798434E-2</v>
      </c>
      <c r="C120" s="69"/>
      <c r="D120" s="51">
        <f t="shared" ref="D120" si="160">(D112+D113)/(D71+D110)</f>
        <v>5.1146564297088276E-2</v>
      </c>
      <c r="E120" s="51"/>
      <c r="F120" s="51">
        <f t="shared" ref="F120" si="161">(F112+F113)/(F71+F110)</f>
        <v>4.2423532953158184E-2</v>
      </c>
      <c r="G120" s="51"/>
      <c r="H120" s="51">
        <f t="shared" ref="H120" si="162">(H112+H113)/(H71+H110)</f>
        <v>5.0193131171895479E-2</v>
      </c>
      <c r="I120" s="51"/>
      <c r="J120" s="138">
        <f>(J112+J113)/(J71+J110)</f>
        <v>4.9804356588207178E-2</v>
      </c>
      <c r="K120" s="69"/>
      <c r="L120" s="51">
        <f t="shared" ref="L120" si="163">(L112+L113)/(L71+L110)</f>
        <v>6.2665384126753668E-2</v>
      </c>
      <c r="M120" s="69"/>
      <c r="N120" s="51">
        <f t="shared" ref="N120" si="164">(N112+N113)/(N71+N110)</f>
        <v>6.0021916896625303E-2</v>
      </c>
      <c r="O120" s="51"/>
      <c r="P120" s="51">
        <f t="shared" ref="P120" si="165">(P112+P113)/(P71+P110)</f>
        <v>5.7759478238756629E-2</v>
      </c>
      <c r="Q120" s="51"/>
      <c r="R120" s="138">
        <f>(R112+R113)/(R71+R110)</f>
        <v>6.2035590443165797E-2</v>
      </c>
      <c r="S120" s="69"/>
      <c r="T120" s="51">
        <f t="shared" ref="T120" si="166">(T112+T113)/(T71+T110)</f>
        <v>6.1314933030543542E-2</v>
      </c>
      <c r="U120" s="69"/>
      <c r="V120" s="51">
        <f t="shared" ref="V120" si="167">(V112+V113)/(V71+V110)</f>
        <v>5.4208582803999636E-2</v>
      </c>
      <c r="W120" s="69"/>
      <c r="X120" s="51">
        <f t="shared" ref="X120" si="168">(X112+X113)/(X71+X110)</f>
        <v>6.5602919300855336E-2</v>
      </c>
      <c r="Y120" s="51"/>
      <c r="Z120" s="138">
        <f>(Z112+Z113)/(Z71+Z110)</f>
        <v>6.851194966534517E-2</v>
      </c>
      <c r="AA120" s="69"/>
      <c r="AB120" s="51">
        <f t="shared" ref="AB120:AF120" si="169">(AB112+AB113)/(AB71+AB110)</f>
        <v>7.2000288722962297E-2</v>
      </c>
      <c r="AC120" s="69"/>
      <c r="AD120" s="51">
        <f t="shared" si="169"/>
        <v>6.5564424173318134E-2</v>
      </c>
      <c r="AE120" s="69"/>
      <c r="AF120" s="51">
        <f t="shared" si="169"/>
        <v>6.6039773862075435E-2</v>
      </c>
      <c r="AG120" s="51"/>
      <c r="AH120" s="138">
        <v>7.7057232049947966E-2</v>
      </c>
      <c r="AI120" s="51"/>
      <c r="AJ120" s="51">
        <v>8.1795667204814598E-2</v>
      </c>
      <c r="AK120" s="51"/>
      <c r="AL120" s="51">
        <v>7.6301288080849725E-2</v>
      </c>
      <c r="AM120" s="51"/>
      <c r="AN120" s="51">
        <v>8.25075618606841E-2</v>
      </c>
      <c r="AO120" s="131"/>
      <c r="AP120" s="15"/>
      <c r="AQ120" s="15"/>
      <c r="AR120" s="15"/>
      <c r="AS120"/>
      <c r="AT120"/>
      <c r="AU120"/>
      <c r="AV120"/>
      <c r="AW120"/>
      <c r="AX120"/>
      <c r="AY120"/>
      <c r="AZ120"/>
      <c r="BA120"/>
      <c r="BB120"/>
      <c r="BC120"/>
      <c r="BD120"/>
      <c r="BE120"/>
      <c r="BF120"/>
      <c r="BG120"/>
      <c r="BH120"/>
      <c r="BI120"/>
      <c r="BJ120"/>
      <c r="BK120"/>
      <c r="BL120"/>
      <c r="BM120"/>
      <c r="BN120"/>
      <c r="BO120"/>
      <c r="BP120"/>
      <c r="BQ120"/>
      <c r="BR120"/>
      <c r="BS120"/>
      <c r="BT120"/>
      <c r="BU120"/>
      <c r="BV120"/>
      <c r="BW120"/>
      <c r="BX120"/>
      <c r="BY120"/>
      <c r="BZ120"/>
      <c r="CA120"/>
      <c r="CB120"/>
      <c r="CC120"/>
      <c r="CD120"/>
      <c r="CE120"/>
      <c r="CF120"/>
      <c r="CG120"/>
      <c r="CH120"/>
      <c r="CI120"/>
      <c r="CJ120"/>
      <c r="CK120"/>
      <c r="CL120"/>
      <c r="CM120"/>
      <c r="CN120"/>
      <c r="CO120"/>
      <c r="CP120"/>
      <c r="CQ120"/>
      <c r="CR120"/>
      <c r="CS120"/>
      <c r="CT120"/>
      <c r="CU120"/>
      <c r="CV120"/>
      <c r="CW120"/>
      <c r="CX120"/>
      <c r="CY120"/>
      <c r="CZ120"/>
      <c r="DA120"/>
      <c r="DB120"/>
      <c r="DC120"/>
      <c r="DD120"/>
      <c r="DE120"/>
      <c r="DF120"/>
      <c r="DG120"/>
      <c r="DH120"/>
      <c r="DI120"/>
      <c r="DJ120"/>
      <c r="DK120"/>
      <c r="DL120"/>
      <c r="DM120"/>
      <c r="DN120"/>
      <c r="DO120"/>
      <c r="DP120"/>
      <c r="DQ120"/>
      <c r="DR120"/>
      <c r="DS120"/>
      <c r="DT120"/>
      <c r="DU120"/>
      <c r="DV120"/>
      <c r="DW120"/>
      <c r="DX120"/>
      <c r="DY120"/>
      <c r="DZ120"/>
    </row>
    <row r="121" spans="1:130" s="21" customFormat="1" x14ac:dyDescent="0.25">
      <c r="A121" s="41"/>
      <c r="B121" s="169"/>
      <c r="D121" s="90"/>
      <c r="E121" s="90"/>
      <c r="F121" s="90"/>
      <c r="G121" s="90"/>
      <c r="H121" s="90"/>
      <c r="I121" s="41"/>
      <c r="J121" s="169"/>
      <c r="L121" s="60"/>
      <c r="N121" s="90"/>
      <c r="O121" s="90"/>
      <c r="P121" s="90"/>
      <c r="Q121" s="41"/>
      <c r="R121" s="169"/>
      <c r="T121" s="60"/>
      <c r="V121" s="60"/>
      <c r="X121" s="90"/>
      <c r="Y121" s="41"/>
      <c r="Z121" s="60"/>
      <c r="AB121" s="60"/>
      <c r="AD121" s="60"/>
      <c r="AF121" s="90"/>
      <c r="AG121" s="41"/>
      <c r="AH121" s="144"/>
      <c r="AI121" s="41"/>
      <c r="AJ121" s="60"/>
      <c r="AK121" s="60"/>
      <c r="AL121" s="60"/>
      <c r="AM121" s="60"/>
      <c r="AN121" s="60"/>
      <c r="AO121" s="141"/>
      <c r="AP121" s="41"/>
      <c r="AQ121" s="41"/>
      <c r="AR121" s="41"/>
    </row>
    <row r="122" spans="1:130" ht="15" customHeight="1" x14ac:dyDescent="0.25">
      <c r="A122" s="15" t="s">
        <v>130</v>
      </c>
      <c r="B122" s="97">
        <v>3112</v>
      </c>
      <c r="C122" s="15"/>
      <c r="D122" s="12">
        <v>3118</v>
      </c>
      <c r="E122" s="12"/>
      <c r="F122" s="12">
        <v>3194</v>
      </c>
      <c r="G122" s="12"/>
      <c r="H122" s="12">
        <v>2886</v>
      </c>
      <c r="I122" s="12"/>
      <c r="J122" s="97">
        <v>2899</v>
      </c>
      <c r="K122" s="15"/>
      <c r="L122" s="2">
        <v>3696</v>
      </c>
      <c r="M122" s="15"/>
      <c r="N122" s="12">
        <v>3731</v>
      </c>
      <c r="O122" s="12"/>
      <c r="P122" s="12">
        <v>3848</v>
      </c>
      <c r="Q122" s="12"/>
      <c r="R122" s="97">
        <v>3739</v>
      </c>
      <c r="S122" s="15"/>
      <c r="T122" s="2">
        <v>2967</v>
      </c>
      <c r="U122" s="15"/>
      <c r="V122" s="2">
        <v>3684</v>
      </c>
      <c r="W122" s="15"/>
      <c r="X122" s="12">
        <v>2592</v>
      </c>
      <c r="Y122" s="12"/>
      <c r="Z122" s="2">
        <v>2347</v>
      </c>
      <c r="AA122" s="15"/>
      <c r="AB122" s="2">
        <v>2380</v>
      </c>
      <c r="AC122" s="15"/>
      <c r="AD122" s="2">
        <v>2143</v>
      </c>
      <c r="AE122" s="15"/>
      <c r="AF122" s="12">
        <v>2092</v>
      </c>
      <c r="AG122" s="12"/>
      <c r="AH122" s="97">
        <v>2133</v>
      </c>
      <c r="AI122" s="2"/>
      <c r="AJ122" s="2">
        <v>2699</v>
      </c>
      <c r="AK122" s="2"/>
      <c r="AL122" s="2">
        <v>2816</v>
      </c>
      <c r="AM122" s="2"/>
      <c r="AN122" s="2">
        <v>2018</v>
      </c>
      <c r="AO122" s="96"/>
      <c r="AP122" s="15"/>
      <c r="AQ122" s="15"/>
      <c r="AR122" s="15"/>
    </row>
    <row r="123" spans="1:130" ht="15" customHeight="1" x14ac:dyDescent="0.25">
      <c r="A123" s="15" t="s">
        <v>131</v>
      </c>
      <c r="B123" s="97">
        <v>1086</v>
      </c>
      <c r="C123" s="15"/>
      <c r="D123" s="176">
        <v>1131</v>
      </c>
      <c r="E123" s="176"/>
      <c r="F123" s="176">
        <v>919</v>
      </c>
      <c r="G123" s="176"/>
      <c r="H123" s="176">
        <v>1110</v>
      </c>
      <c r="I123" s="12"/>
      <c r="J123" s="97">
        <v>1200</v>
      </c>
      <c r="K123" s="15"/>
      <c r="L123" s="2">
        <v>1209</v>
      </c>
      <c r="M123" s="15"/>
      <c r="N123" s="176">
        <v>1212</v>
      </c>
      <c r="O123" s="176"/>
      <c r="P123" s="176">
        <v>1261</v>
      </c>
      <c r="Q123" s="12"/>
      <c r="R123" s="97">
        <v>1252</v>
      </c>
      <c r="S123" s="15"/>
      <c r="T123" s="2">
        <v>1166</v>
      </c>
      <c r="U123" s="15"/>
      <c r="V123" s="2">
        <v>1152</v>
      </c>
      <c r="W123" s="15"/>
      <c r="X123" s="176">
        <v>1020</v>
      </c>
      <c r="Y123" s="12"/>
      <c r="Z123" s="2">
        <v>885</v>
      </c>
      <c r="AA123" s="15"/>
      <c r="AB123" s="2">
        <v>870</v>
      </c>
      <c r="AC123" s="15"/>
      <c r="AD123" s="2">
        <v>818</v>
      </c>
      <c r="AE123" s="15"/>
      <c r="AF123" s="176">
        <v>782</v>
      </c>
      <c r="AG123" s="12"/>
      <c r="AH123" s="97">
        <v>802</v>
      </c>
      <c r="AI123" s="2"/>
      <c r="AJ123" s="2">
        <v>157</v>
      </c>
      <c r="AK123" s="2"/>
      <c r="AL123" s="48">
        <v>166</v>
      </c>
      <c r="AM123" s="2"/>
      <c r="AN123" s="2">
        <v>164</v>
      </c>
      <c r="AO123" s="96"/>
      <c r="AP123" s="15"/>
      <c r="AQ123" s="15"/>
      <c r="AR123" s="15"/>
    </row>
    <row r="124" spans="1:130" ht="30.75" thickBot="1" x14ac:dyDescent="0.3">
      <c r="A124" s="69" t="s">
        <v>132</v>
      </c>
      <c r="B124" s="114">
        <f>(B122+B123)/(B69)</f>
        <v>1.6595713925630699E-2</v>
      </c>
      <c r="C124" s="69"/>
      <c r="D124" s="52">
        <f>(D122+D123)/D69</f>
        <v>1.7116692926244511E-2</v>
      </c>
      <c r="E124" s="52"/>
      <c r="F124" s="52">
        <f>(F122+F123)/F69-0.00027%</f>
        <v>1.6932494983262443E-2</v>
      </c>
      <c r="G124" s="52"/>
      <c r="H124" s="52">
        <f>(H122+H123)/H69</f>
        <v>1.7107555837161413E-2</v>
      </c>
      <c r="I124" s="52"/>
      <c r="J124" s="114">
        <f>(J122+J123)/(J69)</f>
        <v>1.779860094920082E-2</v>
      </c>
      <c r="K124" s="69"/>
      <c r="L124" s="52">
        <f>(L122+L123)/L69</f>
        <v>2.1612499559378193E-2</v>
      </c>
      <c r="M124" s="69"/>
      <c r="N124" s="52">
        <f>(N122+N123)/N69-0.00027%</f>
        <v>2.1889226604691947E-2</v>
      </c>
      <c r="O124" s="52"/>
      <c r="P124" s="52">
        <f>(P122+P123)/P69</f>
        <v>2.3087247109010306E-2</v>
      </c>
      <c r="Q124" s="52"/>
      <c r="R124" s="114">
        <f>(R122+R123)/(R69)</f>
        <v>2.2771134359273842E-2</v>
      </c>
      <c r="S124" s="69"/>
      <c r="T124" s="52">
        <f>(T122+T123)/T69</f>
        <v>1.9064092806568417E-2</v>
      </c>
      <c r="U124" s="69"/>
      <c r="V124" s="52">
        <f>(V122+V123)/V69-0.00027%</f>
        <v>2.2549904088941947E-2</v>
      </c>
      <c r="W124" s="69"/>
      <c r="X124" s="52">
        <f>(X122+X123)/X69</f>
        <v>1.7024806632698751E-2</v>
      </c>
      <c r="Y124" s="52"/>
      <c r="Z124" s="114">
        <f>(Z122+Z123)/(Z69)</f>
        <v>1.5604932549224099E-2</v>
      </c>
      <c r="AA124" s="69"/>
      <c r="AB124" s="52">
        <f>(AB122+AB123)/AB69</f>
        <v>1.5964632199435096E-2</v>
      </c>
      <c r="AC124" s="69"/>
      <c r="AD124" s="52">
        <f>(AD122+AD123)/AD69</f>
        <v>1.4907413933724689E-2</v>
      </c>
      <c r="AE124" s="69"/>
      <c r="AF124" s="52">
        <f>(AF122+AF123)/AF69</f>
        <v>1.4628336421198363E-2</v>
      </c>
      <c r="AG124" s="52"/>
      <c r="AH124" s="114">
        <v>1.5278103120689206E-2</v>
      </c>
      <c r="AI124" s="52"/>
      <c r="AJ124" s="52">
        <v>1.5605363524101981E-2</v>
      </c>
      <c r="AK124" s="52"/>
      <c r="AL124" s="52">
        <v>1.6666014631665428E-2</v>
      </c>
      <c r="AM124" s="52"/>
      <c r="AN124" s="52">
        <v>1.2520082625659857E-2</v>
      </c>
      <c r="AO124" s="131"/>
      <c r="AP124" s="15"/>
      <c r="AQ124" s="15"/>
      <c r="AR124" s="15"/>
      <c r="AS124"/>
      <c r="AT124"/>
      <c r="AU124"/>
      <c r="AV124"/>
      <c r="AW124"/>
      <c r="AX124"/>
      <c r="AY124"/>
      <c r="AZ124"/>
      <c r="BA124"/>
      <c r="BB124"/>
      <c r="BC124"/>
      <c r="BD124"/>
      <c r="BE124"/>
      <c r="BF124"/>
      <c r="BG124"/>
      <c r="BH124"/>
      <c r="BI124"/>
      <c r="BJ124"/>
      <c r="BK124"/>
      <c r="BL124"/>
      <c r="BM124"/>
      <c r="BN124"/>
      <c r="BO124"/>
      <c r="BP124"/>
      <c r="BQ124"/>
      <c r="BR124"/>
      <c r="BS124"/>
      <c r="BT124"/>
      <c r="BU124"/>
      <c r="BV124"/>
      <c r="BW124"/>
      <c r="BX124"/>
      <c r="BY124"/>
      <c r="BZ124"/>
      <c r="CA124"/>
      <c r="CB124"/>
      <c r="CC124"/>
      <c r="CD124"/>
      <c r="CE124"/>
      <c r="CF124"/>
      <c r="CG124"/>
      <c r="CH124"/>
      <c r="CI124"/>
      <c r="CJ124"/>
      <c r="CK124"/>
      <c r="CL124"/>
      <c r="CM124"/>
      <c r="CN124"/>
      <c r="CO124"/>
      <c r="CP124"/>
      <c r="CQ124"/>
      <c r="CR124"/>
      <c r="CS124"/>
      <c r="CT124"/>
      <c r="CU124"/>
      <c r="CV124"/>
      <c r="CW124"/>
      <c r="CX124"/>
      <c r="CY124"/>
      <c r="CZ124"/>
      <c r="DA124"/>
      <c r="DB124"/>
      <c r="DC124"/>
      <c r="DD124"/>
      <c r="DE124"/>
      <c r="DF124"/>
      <c r="DG124"/>
      <c r="DH124"/>
      <c r="DI124"/>
      <c r="DJ124"/>
      <c r="DK124"/>
      <c r="DL124"/>
      <c r="DM124"/>
      <c r="DN124"/>
      <c r="DO124"/>
      <c r="DP124"/>
      <c r="DQ124"/>
      <c r="DR124"/>
      <c r="DS124"/>
      <c r="DT124"/>
      <c r="DU124"/>
      <c r="DV124"/>
      <c r="DW124"/>
      <c r="DX124"/>
      <c r="DY124"/>
      <c r="DZ124"/>
    </row>
    <row r="125" spans="1:130" ht="15" customHeight="1" x14ac:dyDescent="0.25">
      <c r="A125" s="30"/>
      <c r="B125" s="111"/>
      <c r="C125" s="30"/>
      <c r="D125" s="86"/>
      <c r="E125" s="86"/>
      <c r="F125" s="86"/>
      <c r="G125" s="86"/>
      <c r="H125" s="86"/>
      <c r="I125" s="19"/>
      <c r="J125" s="111"/>
      <c r="K125" s="30"/>
      <c r="L125" s="86"/>
      <c r="M125" s="30"/>
      <c r="N125" s="86"/>
      <c r="O125" s="86"/>
      <c r="P125" s="86"/>
      <c r="Q125" s="19"/>
      <c r="R125" s="111"/>
      <c r="S125" s="30"/>
      <c r="T125" s="86"/>
      <c r="U125" s="30"/>
      <c r="V125" s="86"/>
      <c r="W125" s="30"/>
      <c r="X125" s="86"/>
      <c r="Y125" s="19"/>
      <c r="Z125" s="86"/>
      <c r="AA125" s="30"/>
      <c r="AB125" s="86"/>
      <c r="AC125" s="30"/>
      <c r="AD125" s="86"/>
      <c r="AE125" s="30"/>
      <c r="AF125" s="86"/>
      <c r="AG125" s="19"/>
      <c r="AH125" s="111"/>
      <c r="AI125" s="19"/>
      <c r="AJ125" s="86"/>
      <c r="AK125" s="19"/>
      <c r="AL125" s="86"/>
      <c r="AM125" s="19"/>
      <c r="AN125" s="86"/>
      <c r="AO125" s="131"/>
      <c r="AP125" s="15"/>
      <c r="AQ125" s="15"/>
      <c r="AR125" s="15"/>
      <c r="AS125"/>
      <c r="AT125"/>
      <c r="AU125"/>
      <c r="AV125"/>
      <c r="AW125"/>
      <c r="AX125"/>
      <c r="AY125"/>
      <c r="AZ125"/>
      <c r="BA125"/>
      <c r="BB125"/>
      <c r="BC125"/>
      <c r="BD125"/>
      <c r="BE125"/>
      <c r="BF125"/>
      <c r="BG125"/>
      <c r="BH125"/>
      <c r="BI125"/>
      <c r="BJ125"/>
      <c r="BK125"/>
      <c r="BL125"/>
      <c r="BM125"/>
      <c r="BN125"/>
      <c r="BO125"/>
      <c r="BP125"/>
      <c r="BQ125"/>
      <c r="BR125"/>
      <c r="BS125"/>
      <c r="BT125"/>
      <c r="BU125"/>
      <c r="BV125"/>
      <c r="BW125"/>
      <c r="BX125"/>
      <c r="BY125"/>
      <c r="BZ125"/>
      <c r="CA125"/>
      <c r="CB125"/>
      <c r="CC125"/>
      <c r="CD125"/>
      <c r="CE125"/>
      <c r="CF125"/>
      <c r="CG125"/>
      <c r="CH125"/>
      <c r="CI125"/>
      <c r="CJ125"/>
      <c r="CK125"/>
      <c r="CL125"/>
      <c r="CM125"/>
      <c r="CN125"/>
      <c r="CO125"/>
      <c r="CP125"/>
      <c r="CQ125"/>
      <c r="CR125"/>
      <c r="CS125"/>
      <c r="CT125"/>
      <c r="CU125"/>
      <c r="CV125"/>
      <c r="CW125"/>
      <c r="CX125"/>
      <c r="CY125"/>
      <c r="CZ125"/>
      <c r="DA125"/>
      <c r="DB125"/>
      <c r="DC125"/>
      <c r="DD125"/>
      <c r="DE125"/>
      <c r="DF125"/>
      <c r="DG125"/>
      <c r="DH125"/>
      <c r="DI125"/>
      <c r="DJ125"/>
      <c r="DK125"/>
      <c r="DL125"/>
      <c r="DM125"/>
      <c r="DN125"/>
      <c r="DO125"/>
      <c r="DP125"/>
      <c r="DQ125"/>
      <c r="DR125"/>
      <c r="DS125"/>
      <c r="DT125"/>
      <c r="DU125"/>
      <c r="DV125"/>
      <c r="DW125"/>
      <c r="DX125"/>
      <c r="DY125"/>
      <c r="DZ125"/>
    </row>
    <row r="126" spans="1:130" ht="30.75" thickBot="1" x14ac:dyDescent="0.3">
      <c r="A126" s="69" t="s">
        <v>133</v>
      </c>
      <c r="B126" s="145">
        <f>(B122+B123)/(B71)</f>
        <v>1.6595713925630699E-2</v>
      </c>
      <c r="C126" s="182"/>
      <c r="D126" s="88">
        <f>(D122+D123)/D71</f>
        <v>1.7116692926244511E-2</v>
      </c>
      <c r="E126" s="88"/>
      <c r="F126" s="88">
        <f>(F122+F123)/F71</f>
        <v>1.6935194983262444E-2</v>
      </c>
      <c r="G126" s="88"/>
      <c r="H126" s="88">
        <f>(H122+H123)/H71</f>
        <v>1.7107555837161413E-2</v>
      </c>
      <c r="I126" s="88"/>
      <c r="J126" s="145">
        <f>(J122+J123)/(J71)</f>
        <v>1.779860094920082E-2</v>
      </c>
      <c r="K126" s="182"/>
      <c r="L126" s="88">
        <f>(L122+L123)/L71</f>
        <v>2.1612499559378193E-2</v>
      </c>
      <c r="M126" s="182"/>
      <c r="N126" s="88">
        <f>(N122+N123)/N71</f>
        <v>2.1891926604691948E-2</v>
      </c>
      <c r="O126" s="88"/>
      <c r="P126" s="88">
        <f>(P122+P123)/P71</f>
        <v>2.3087247109010306E-2</v>
      </c>
      <c r="Q126" s="88"/>
      <c r="R126" s="145">
        <f>(R122+R123)/(R71)</f>
        <v>2.2771134359273842E-2</v>
      </c>
      <c r="S126" s="182"/>
      <c r="T126" s="88">
        <f>(T122+T123)/T71</f>
        <v>1.8770579285600743E-2</v>
      </c>
      <c r="U126" s="182"/>
      <c r="V126" s="88">
        <f>(V122+V123)/V71</f>
        <v>2.2119562731555596E-2</v>
      </c>
      <c r="W126" s="182"/>
      <c r="X126" s="88">
        <f>(X122+X123)/X71</f>
        <v>1.6694861199700491E-2</v>
      </c>
      <c r="Y126" s="88"/>
      <c r="Z126" s="145">
        <f>(Z122+Z123)/(Z71)</f>
        <v>1.5291662921029349E-2</v>
      </c>
      <c r="AA126" s="182"/>
      <c r="AB126" s="88">
        <f>(AB122+AB123)/AB71</f>
        <v>1.5486957599092703E-2</v>
      </c>
      <c r="AC126" s="182"/>
      <c r="AD126" s="88">
        <f>(AD122+AD123)/AD71</f>
        <v>1.4268985557531335E-2</v>
      </c>
      <c r="AE126" s="182"/>
      <c r="AF126" s="88">
        <f>(AF122+AF123)/AF71</f>
        <v>1.3991801602679571E-2</v>
      </c>
      <c r="AG126" s="88"/>
      <c r="AH126" s="145">
        <v>1.4573061435260354E-2</v>
      </c>
      <c r="AI126" s="88"/>
      <c r="AJ126" s="88">
        <v>1.4538420423019166E-2</v>
      </c>
      <c r="AK126" s="88"/>
      <c r="AL126" s="88">
        <v>1.5412923700342165E-2</v>
      </c>
      <c r="AM126" s="88"/>
      <c r="AN126" s="88">
        <v>1.1550351486406369E-2</v>
      </c>
      <c r="AO126" s="131"/>
      <c r="AP126" s="15"/>
      <c r="AQ126" s="15"/>
      <c r="AR126" s="15"/>
      <c r="AS126"/>
      <c r="AT126"/>
      <c r="AU126"/>
      <c r="AV126"/>
      <c r="AW126"/>
      <c r="AX126"/>
      <c r="AY126"/>
      <c r="AZ126"/>
      <c r="BA126"/>
      <c r="BB126"/>
      <c r="BC126"/>
      <c r="BD126"/>
      <c r="BE126"/>
      <c r="BF126"/>
      <c r="BG126"/>
      <c r="BH126"/>
      <c r="BI126"/>
      <c r="BJ126"/>
      <c r="BK126"/>
      <c r="BL126"/>
      <c r="BM126"/>
      <c r="BN126"/>
      <c r="BO126"/>
      <c r="BP126"/>
      <c r="BQ126"/>
      <c r="BR126"/>
      <c r="BS126"/>
      <c r="BT126"/>
      <c r="BU126"/>
      <c r="BV126"/>
      <c r="BW126"/>
      <c r="BX126"/>
      <c r="BY126"/>
      <c r="BZ126"/>
      <c r="CA126"/>
      <c r="CB126"/>
      <c r="CC126"/>
      <c r="CD126"/>
      <c r="CE126"/>
      <c r="CF126"/>
      <c r="CG126"/>
      <c r="CH126"/>
      <c r="CI126"/>
      <c r="CJ126"/>
      <c r="CK126"/>
      <c r="CL126"/>
      <c r="CM126"/>
      <c r="CN126"/>
      <c r="CO126"/>
      <c r="CP126"/>
      <c r="CQ126"/>
      <c r="CR126"/>
      <c r="CS126"/>
      <c r="CT126"/>
      <c r="CU126"/>
      <c r="CV126"/>
      <c r="CW126"/>
      <c r="CX126"/>
      <c r="CY126"/>
      <c r="CZ126"/>
      <c r="DA126"/>
      <c r="DB126"/>
      <c r="DC126"/>
      <c r="DD126"/>
      <c r="DE126"/>
      <c r="DF126"/>
      <c r="DG126"/>
      <c r="DH126"/>
      <c r="DI126"/>
      <c r="DJ126"/>
      <c r="DK126"/>
      <c r="DL126"/>
      <c r="DM126"/>
      <c r="DN126"/>
      <c r="DO126"/>
      <c r="DP126"/>
      <c r="DQ126"/>
      <c r="DR126"/>
      <c r="DS126"/>
      <c r="DT126"/>
      <c r="DU126"/>
      <c r="DV126"/>
      <c r="DW126"/>
      <c r="DX126"/>
      <c r="DY126"/>
      <c r="DZ126"/>
    </row>
    <row r="127" spans="1:130" x14ac:dyDescent="0.25">
      <c r="A127" s="184"/>
      <c r="B127" s="186"/>
      <c r="C127" s="184"/>
      <c r="D127" s="185"/>
      <c r="E127" s="185"/>
      <c r="F127" s="185"/>
      <c r="G127" s="185"/>
      <c r="H127" s="185"/>
      <c r="I127" s="185"/>
      <c r="J127" s="186"/>
      <c r="K127" s="184"/>
      <c r="L127" s="185"/>
      <c r="M127" s="184"/>
      <c r="N127" s="185"/>
      <c r="O127" s="185"/>
      <c r="P127" s="185"/>
      <c r="Q127" s="185"/>
      <c r="R127" s="186"/>
      <c r="S127" s="184"/>
      <c r="T127" s="185"/>
      <c r="U127" s="184"/>
      <c r="V127" s="185"/>
      <c r="W127" s="184"/>
      <c r="X127" s="185"/>
      <c r="Y127" s="185"/>
      <c r="Z127" s="185"/>
      <c r="AA127" s="184"/>
      <c r="AB127" s="185"/>
      <c r="AC127" s="184"/>
      <c r="AD127" s="185"/>
      <c r="AE127" s="184"/>
      <c r="AF127" s="185"/>
      <c r="AG127" s="185"/>
      <c r="AH127" s="186"/>
      <c r="AI127" s="185"/>
      <c r="AJ127" s="185"/>
      <c r="AK127" s="185"/>
      <c r="AL127" s="185"/>
      <c r="AM127" s="185"/>
      <c r="AN127" s="185"/>
      <c r="AO127" s="131"/>
      <c r="AP127" s="15"/>
      <c r="AQ127" s="15"/>
      <c r="AR127" s="15"/>
      <c r="AS127"/>
      <c r="AT127"/>
      <c r="AU127"/>
      <c r="AV127"/>
      <c r="AW127"/>
      <c r="AX127"/>
      <c r="AY127"/>
      <c r="AZ127"/>
      <c r="BA127"/>
      <c r="BB127"/>
      <c r="BC127"/>
      <c r="BD127"/>
      <c r="BE127"/>
      <c r="BF127"/>
      <c r="BG127"/>
      <c r="BH127"/>
      <c r="BI127"/>
      <c r="BJ127"/>
      <c r="BK127"/>
      <c r="BL127"/>
      <c r="BM127"/>
      <c r="BN127"/>
      <c r="BO127"/>
      <c r="BP127"/>
      <c r="BQ127"/>
      <c r="BR127"/>
      <c r="BS127"/>
      <c r="BT127"/>
      <c r="BU127"/>
      <c r="BV127"/>
      <c r="BW127"/>
      <c r="BX127"/>
      <c r="BY127"/>
      <c r="BZ127"/>
      <c r="CA127"/>
      <c r="CB127"/>
      <c r="CC127"/>
      <c r="CD127"/>
      <c r="CE127"/>
      <c r="CF127"/>
      <c r="CG127"/>
      <c r="CH127"/>
      <c r="CI127"/>
      <c r="CJ127"/>
      <c r="CK127"/>
      <c r="CL127"/>
      <c r="CM127"/>
      <c r="CN127"/>
      <c r="CO127"/>
      <c r="CP127"/>
      <c r="CQ127"/>
      <c r="CR127"/>
      <c r="CS127"/>
      <c r="CT127"/>
      <c r="CU127"/>
      <c r="CV127"/>
      <c r="CW127"/>
      <c r="CX127"/>
      <c r="CY127"/>
      <c r="CZ127"/>
      <c r="DA127"/>
      <c r="DB127"/>
      <c r="DC127"/>
      <c r="DD127"/>
      <c r="DE127"/>
      <c r="DF127"/>
      <c r="DG127"/>
      <c r="DH127"/>
      <c r="DI127"/>
      <c r="DJ127"/>
      <c r="DK127"/>
      <c r="DL127"/>
      <c r="DM127"/>
      <c r="DN127"/>
      <c r="DO127"/>
      <c r="DP127"/>
      <c r="DQ127"/>
      <c r="DR127"/>
      <c r="DS127"/>
      <c r="DT127"/>
      <c r="DU127"/>
      <c r="DV127"/>
      <c r="DW127"/>
      <c r="DX127"/>
      <c r="DY127"/>
      <c r="DZ127"/>
    </row>
    <row r="128" spans="1:130" ht="30.75" thickBot="1" x14ac:dyDescent="0.3">
      <c r="A128" s="69" t="s">
        <v>134</v>
      </c>
      <c r="B128" s="114">
        <f>(B122+B123)/(B69+B110)</f>
        <v>1.3520613082939906E-2</v>
      </c>
      <c r="C128" s="69"/>
      <c r="D128" s="52">
        <f>(D122+D123)/(D69+D110)</f>
        <v>1.394160583130152E-2</v>
      </c>
      <c r="E128" s="52"/>
      <c r="F128" s="52">
        <f>(F122+F123)/(F69+F110)</f>
        <v>1.375654297038313E-2</v>
      </c>
      <c r="G128" s="52"/>
      <c r="H128" s="52">
        <f>(H122+H123)/(H69+H110)</f>
        <v>1.3968364939264179E-2</v>
      </c>
      <c r="I128" s="52"/>
      <c r="J128" s="114">
        <f>(J122+J123)/(J69+J110)</f>
        <v>1.4620644392685041E-2</v>
      </c>
      <c r="K128" s="69"/>
      <c r="L128" s="52">
        <f>(L122+L123)/(L69+L110)</f>
        <v>1.7804315867801592E-2</v>
      </c>
      <c r="M128" s="69"/>
      <c r="N128" s="52">
        <f>(N122+N123)/(N69+N110)</f>
        <v>1.7877099013016321E-2</v>
      </c>
      <c r="O128" s="52"/>
      <c r="P128" s="52">
        <f>(P122+P123)/(P69+P110)</f>
        <v>1.9106065025691656E-2</v>
      </c>
      <c r="Q128" s="52"/>
      <c r="R128" s="114">
        <f>(R122+R123)/(R69+R110)</f>
        <v>1.9018404907975461E-2</v>
      </c>
      <c r="S128" s="69"/>
      <c r="T128" s="52">
        <f>(T122+T123)/(T69+T110)</f>
        <v>1.5899884203601614E-2</v>
      </c>
      <c r="U128" s="69"/>
      <c r="V128" s="52">
        <f>(V122+V123)/(V69+V110)</f>
        <v>1.8669940469296518E-2</v>
      </c>
      <c r="W128" s="69"/>
      <c r="X128" s="52">
        <f>(X122+X123)/(X69+X110)</f>
        <v>1.4223216289756686E-2</v>
      </c>
      <c r="Y128" s="52"/>
      <c r="Z128" s="114">
        <f>(Z122+Z123)/(Z69+Z110)</f>
        <v>1.3193506117100531E-2</v>
      </c>
      <c r="AA128" s="69"/>
      <c r="AB128" s="52">
        <f>(AB122+AB123)/(AB69+AB110)</f>
        <v>1.336925893169337E-2</v>
      </c>
      <c r="AC128" s="69"/>
      <c r="AD128" s="52">
        <f>(AD122+AD123)/(AD69+AD110)</f>
        <v>1.2328202480629193E-2</v>
      </c>
      <c r="AE128" s="69"/>
      <c r="AF128" s="52">
        <f>(AF122+AF123)/(AF69+AF110)</f>
        <v>1.215741183338339E-2</v>
      </c>
      <c r="AG128" s="52"/>
      <c r="AH128" s="114">
        <v>1.2708048286253659E-2</v>
      </c>
      <c r="AI128" s="52"/>
      <c r="AJ128" s="52">
        <v>1.2796673581769221E-2</v>
      </c>
      <c r="AK128" s="52"/>
      <c r="AL128" s="52">
        <v>1.3661352391423858E-2</v>
      </c>
      <c r="AM128" s="52"/>
      <c r="AN128" s="52">
        <v>1.0365254072233755E-2</v>
      </c>
      <c r="AO128" s="131"/>
      <c r="AP128" s="15"/>
      <c r="AQ128" s="15"/>
      <c r="AR128" s="15"/>
      <c r="AS128"/>
      <c r="AT128"/>
      <c r="AU128"/>
      <c r="AV128"/>
      <c r="AW128"/>
      <c r="AX128"/>
      <c r="AY128"/>
      <c r="AZ128"/>
      <c r="BA128"/>
      <c r="BB128"/>
      <c r="BC128"/>
      <c r="BD128"/>
      <c r="BE128"/>
      <c r="BF128"/>
      <c r="BG128"/>
      <c r="BH128"/>
      <c r="BI128"/>
      <c r="BJ128"/>
      <c r="BK128"/>
      <c r="BL128"/>
      <c r="BM128"/>
      <c r="BN128"/>
      <c r="BO128"/>
      <c r="BP128"/>
      <c r="BQ128"/>
      <c r="BR128"/>
      <c r="BS128"/>
      <c r="BT128"/>
      <c r="BU128"/>
      <c r="BV128"/>
      <c r="BW128"/>
      <c r="BX128"/>
      <c r="BY128"/>
      <c r="BZ128"/>
      <c r="CA128"/>
      <c r="CB128"/>
      <c r="CC128"/>
      <c r="CD128"/>
      <c r="CE128"/>
      <c r="CF128"/>
      <c r="CG128"/>
      <c r="CH128"/>
      <c r="CI128"/>
      <c r="CJ128"/>
      <c r="CK128"/>
      <c r="CL128"/>
      <c r="CM128"/>
      <c r="CN128"/>
      <c r="CO128"/>
      <c r="CP128"/>
      <c r="CQ128"/>
      <c r="CR128"/>
      <c r="CS128"/>
      <c r="CT128"/>
      <c r="CU128"/>
      <c r="CV128"/>
      <c r="CW128"/>
      <c r="CX128"/>
      <c r="CY128"/>
      <c r="CZ128"/>
      <c r="DA128"/>
      <c r="DB128"/>
      <c r="DC128"/>
      <c r="DD128"/>
      <c r="DE128"/>
      <c r="DF128"/>
      <c r="DG128"/>
      <c r="DH128"/>
      <c r="DI128"/>
      <c r="DJ128"/>
      <c r="DK128"/>
      <c r="DL128"/>
      <c r="DM128"/>
      <c r="DN128"/>
      <c r="DO128"/>
      <c r="DP128"/>
      <c r="DQ128"/>
      <c r="DR128"/>
      <c r="DS128"/>
      <c r="DT128"/>
      <c r="DU128"/>
      <c r="DV128"/>
      <c r="DW128"/>
      <c r="DX128"/>
      <c r="DY128"/>
      <c r="DZ128"/>
    </row>
    <row r="129" spans="1:140" x14ac:dyDescent="0.25">
      <c r="A129" s="184"/>
      <c r="B129" s="186"/>
      <c r="C129" s="184"/>
      <c r="D129" s="185"/>
      <c r="E129" s="185"/>
      <c r="F129" s="185"/>
      <c r="G129" s="185"/>
      <c r="H129" s="185"/>
      <c r="I129" s="185"/>
      <c r="J129" s="186"/>
      <c r="K129" s="184"/>
      <c r="L129" s="185"/>
      <c r="M129" s="184"/>
      <c r="N129" s="185"/>
      <c r="O129" s="185"/>
      <c r="P129" s="185"/>
      <c r="Q129" s="185"/>
      <c r="R129" s="186"/>
      <c r="S129" s="184"/>
      <c r="T129" s="185"/>
      <c r="U129" s="184"/>
      <c r="V129" s="185"/>
      <c r="W129" s="184"/>
      <c r="X129" s="185"/>
      <c r="Y129" s="185"/>
      <c r="Z129" s="185"/>
      <c r="AA129" s="184"/>
      <c r="AB129" s="185"/>
      <c r="AC129" s="184"/>
      <c r="AD129" s="185"/>
      <c r="AE129" s="184"/>
      <c r="AF129" s="185"/>
      <c r="AG129" s="185"/>
      <c r="AH129" s="185"/>
      <c r="AI129" s="185"/>
      <c r="AJ129" s="185"/>
      <c r="AK129" s="185"/>
      <c r="AL129" s="185"/>
      <c r="AM129" s="185"/>
      <c r="AN129" s="185"/>
      <c r="AO129" s="131"/>
      <c r="AP129" s="15"/>
      <c r="AQ129" s="15"/>
      <c r="AR129" s="15"/>
      <c r="AS129"/>
      <c r="AT129"/>
      <c r="AU129"/>
      <c r="AV129"/>
      <c r="AW129"/>
      <c r="AX129"/>
      <c r="AY129"/>
      <c r="AZ129"/>
      <c r="BA129"/>
      <c r="BB129"/>
      <c r="BC129"/>
      <c r="BD129"/>
      <c r="BE129"/>
      <c r="BF129"/>
      <c r="BG129"/>
      <c r="BH129"/>
      <c r="BI129"/>
      <c r="BJ129"/>
      <c r="BK129"/>
      <c r="BL129"/>
      <c r="BM129"/>
      <c r="BN129"/>
      <c r="BO129"/>
      <c r="BP129"/>
      <c r="BQ129"/>
      <c r="BR129"/>
      <c r="BS129"/>
      <c r="BT129"/>
      <c r="BU129"/>
      <c r="BV129"/>
      <c r="BW129"/>
      <c r="BX129"/>
      <c r="BY129"/>
      <c r="BZ129"/>
      <c r="CA129"/>
      <c r="CB129"/>
      <c r="CC129"/>
      <c r="CD129"/>
      <c r="CE129"/>
      <c r="CF129"/>
      <c r="CG129"/>
      <c r="CH129"/>
      <c r="CI129"/>
      <c r="CJ129"/>
      <c r="CK129"/>
      <c r="CL129"/>
      <c r="CM129"/>
      <c r="CN129"/>
      <c r="CO129"/>
      <c r="CP129"/>
      <c r="CQ129"/>
      <c r="CR129"/>
      <c r="CS129"/>
      <c r="CT129"/>
      <c r="CU129"/>
      <c r="CV129"/>
      <c r="CW129"/>
      <c r="CX129"/>
      <c r="CY129"/>
      <c r="CZ129"/>
      <c r="DA129"/>
      <c r="DB129"/>
      <c r="DC129"/>
      <c r="DD129"/>
      <c r="DE129"/>
      <c r="DF129"/>
      <c r="DG129"/>
      <c r="DH129"/>
      <c r="DI129"/>
      <c r="DJ129"/>
      <c r="DK129"/>
      <c r="DL129"/>
      <c r="DM129"/>
      <c r="DN129"/>
      <c r="DO129"/>
      <c r="DP129"/>
      <c r="DQ129"/>
      <c r="DR129"/>
      <c r="DS129"/>
      <c r="DT129"/>
      <c r="DU129"/>
      <c r="DV129"/>
      <c r="DW129"/>
      <c r="DX129"/>
      <c r="DY129"/>
      <c r="DZ129"/>
    </row>
    <row r="130" spans="1:140" ht="30.75" customHeight="1" thickBot="1" x14ac:dyDescent="0.3">
      <c r="A130" s="69" t="s">
        <v>135</v>
      </c>
      <c r="B130" s="114">
        <f>(B122+B123)/(B71+B110)</f>
        <v>1.3520613082939906E-2</v>
      </c>
      <c r="C130" s="69"/>
      <c r="D130" s="52">
        <f>(D122+D123)/(D71+D110)</f>
        <v>1.394160583130152E-2</v>
      </c>
      <c r="E130" s="52"/>
      <c r="F130" s="52">
        <f>(F122+F123)/(F71+F110)</f>
        <v>1.375654297038313E-2</v>
      </c>
      <c r="G130" s="52"/>
      <c r="H130" s="52">
        <f>(H122+H123)/(H71+H110)</f>
        <v>1.3968364939264179E-2</v>
      </c>
      <c r="I130" s="52"/>
      <c r="J130" s="114">
        <f>(J122+J123)/(J71+J110)</f>
        <v>1.4620644392685041E-2</v>
      </c>
      <c r="K130" s="69"/>
      <c r="L130" s="52">
        <f>(L122+L123)/(L71+L110)</f>
        <v>1.7804315867801592E-2</v>
      </c>
      <c r="M130" s="69"/>
      <c r="N130" s="52">
        <f>(N122+N123)/(N71+N110)</f>
        <v>1.7877099013016321E-2</v>
      </c>
      <c r="O130" s="52"/>
      <c r="P130" s="52">
        <f>(P122+P123)/(P71+P110)</f>
        <v>1.9106065025691656E-2</v>
      </c>
      <c r="Q130" s="52"/>
      <c r="R130" s="114">
        <f>(R122+R123)/(R71+R110)</f>
        <v>1.9018404907975461E-2</v>
      </c>
      <c r="S130" s="69"/>
      <c r="T130" s="52">
        <f>(T122+T123)/(T71+T110)</f>
        <v>1.5695194984221259E-2</v>
      </c>
      <c r="U130" s="69"/>
      <c r="V130" s="52">
        <f>(V122+V123)/(V71+V110)</f>
        <v>1.8372184907151323E-2</v>
      </c>
      <c r="W130" s="69"/>
      <c r="X130" s="52">
        <f>(X122+X123)/(X71+X110)</f>
        <v>1.399219040535515E-2</v>
      </c>
      <c r="Y130" s="115"/>
      <c r="Z130" s="52">
        <f>(Z122+Z123)/(Z71+Z110)</f>
        <v>1.2968877903150731E-2</v>
      </c>
      <c r="AA130" s="69"/>
      <c r="AB130" s="52">
        <f>(AB122+AB123)/(AB71+AB110)</f>
        <v>1.3032633714821914E-2</v>
      </c>
      <c r="AC130" s="69"/>
      <c r="AD130" s="52">
        <f>(AD122+AD123)/(AD71+AD110)</f>
        <v>1.1888319655676362E-2</v>
      </c>
      <c r="AE130" s="69"/>
      <c r="AF130" s="52">
        <f>(AF122+AF123)/(AF71+AF110)</f>
        <v>1.1714498832218541E-2</v>
      </c>
      <c r="AG130" s="52"/>
      <c r="AH130" s="114">
        <v>1.2216441207075962E-2</v>
      </c>
      <c r="AI130" s="52"/>
      <c r="AJ130" s="52">
        <v>1.2070291698716052E-2</v>
      </c>
      <c r="AK130" s="52"/>
      <c r="AL130" s="52">
        <v>1.2807792910616038E-2</v>
      </c>
      <c r="AM130" s="52"/>
      <c r="AN130" s="52">
        <v>9.6916182159782899E-3</v>
      </c>
      <c r="AO130" s="131"/>
      <c r="AP130" s="15"/>
      <c r="AQ130" s="15"/>
      <c r="AR130" s="15"/>
      <c r="AS130"/>
      <c r="AT130"/>
      <c r="AU130"/>
      <c r="AV130"/>
      <c r="AW130"/>
      <c r="AX130"/>
      <c r="AY130"/>
      <c r="AZ130"/>
      <c r="BA130"/>
      <c r="BB130"/>
      <c r="BC130"/>
      <c r="BD130"/>
      <c r="BE130"/>
      <c r="BF130"/>
      <c r="BG130"/>
      <c r="BH130"/>
      <c r="BI130"/>
      <c r="BJ130"/>
      <c r="BK130"/>
      <c r="BL130"/>
      <c r="BM130"/>
      <c r="BN130"/>
      <c r="BO130"/>
      <c r="BP130"/>
      <c r="BQ130"/>
      <c r="BR130"/>
      <c r="BS130"/>
      <c r="BT130"/>
      <c r="BU130"/>
      <c r="BV130"/>
      <c r="BW130"/>
      <c r="BX130"/>
      <c r="BY130"/>
      <c r="BZ130"/>
      <c r="CA130"/>
      <c r="CB130"/>
      <c r="CC130"/>
      <c r="CD130"/>
      <c r="CE130"/>
      <c r="CF130"/>
      <c r="CG130"/>
      <c r="CH130"/>
      <c r="CI130"/>
      <c r="CJ130"/>
      <c r="CK130"/>
      <c r="CL130"/>
      <c r="CM130"/>
      <c r="CN130"/>
      <c r="CO130"/>
      <c r="CP130"/>
      <c r="CQ130"/>
      <c r="CR130"/>
      <c r="CS130"/>
      <c r="CT130"/>
      <c r="CU130"/>
      <c r="CV130"/>
      <c r="CW130"/>
      <c r="CX130"/>
      <c r="CY130"/>
      <c r="CZ130"/>
      <c r="DA130"/>
      <c r="DB130"/>
      <c r="DC130"/>
      <c r="DD130"/>
      <c r="DE130"/>
      <c r="DF130"/>
      <c r="DG130"/>
      <c r="DH130"/>
      <c r="DI130"/>
      <c r="DJ130"/>
      <c r="DK130"/>
      <c r="DL130"/>
      <c r="DM130"/>
      <c r="DN130"/>
      <c r="DO130"/>
      <c r="DP130"/>
      <c r="DQ130"/>
      <c r="DR130"/>
      <c r="DS130"/>
      <c r="DT130"/>
      <c r="DU130"/>
      <c r="DV130"/>
      <c r="DW130"/>
      <c r="DX130"/>
      <c r="DY130"/>
      <c r="DZ130"/>
    </row>
    <row r="131" spans="1:140" x14ac:dyDescent="0.25">
      <c r="B131" s="106"/>
      <c r="H131" s="15"/>
      <c r="I131" s="15"/>
      <c r="J131" s="106"/>
      <c r="R131" s="106"/>
      <c r="Y131" s="136"/>
      <c r="AH131" s="95"/>
      <c r="AO131" s="96"/>
      <c r="AP131" s="15"/>
      <c r="AQ131" s="15"/>
      <c r="AR131" s="15"/>
    </row>
    <row r="132" spans="1:140" customFormat="1" x14ac:dyDescent="0.25">
      <c r="A132" t="s">
        <v>136</v>
      </c>
      <c r="B132" s="147">
        <v>255.751082</v>
      </c>
      <c r="D132" s="147">
        <v>255.751082</v>
      </c>
      <c r="E132" s="147"/>
      <c r="F132" s="147">
        <v>255.751082</v>
      </c>
      <c r="G132" s="147"/>
      <c r="H132" s="147">
        <v>255.751082</v>
      </c>
      <c r="J132" s="147">
        <v>255.751082</v>
      </c>
      <c r="L132" s="147">
        <v>255.751082</v>
      </c>
      <c r="N132" s="147">
        <v>255.751082</v>
      </c>
      <c r="O132" s="147"/>
      <c r="P132" s="147">
        <v>255.751082</v>
      </c>
      <c r="R132" s="146">
        <v>255.751082</v>
      </c>
      <c r="T132" s="147">
        <v>255.751082</v>
      </c>
      <c r="V132" s="147">
        <v>255.751082</v>
      </c>
      <c r="X132" s="147">
        <v>255.751082</v>
      </c>
      <c r="Y132" s="131"/>
      <c r="Z132" s="147">
        <v>255.751082</v>
      </c>
      <c r="AB132" s="147">
        <v>255.751082</v>
      </c>
      <c r="AD132" s="147">
        <v>255.751082</v>
      </c>
      <c r="AF132" s="147">
        <v>255.751082</v>
      </c>
      <c r="AH132" s="146">
        <v>255.751082</v>
      </c>
      <c r="AJ132" s="147">
        <v>255.751082</v>
      </c>
      <c r="AL132" s="147">
        <v>255.751082</v>
      </c>
      <c r="AN132" s="147">
        <v>255.751082</v>
      </c>
      <c r="AO132" s="131"/>
    </row>
    <row r="133" spans="1:140" x14ac:dyDescent="0.25">
      <c r="A133" s="19" t="s">
        <v>137</v>
      </c>
      <c r="B133" s="198">
        <v>2.9218999999999998E-2</v>
      </c>
      <c r="C133" s="34"/>
      <c r="D133" s="195">
        <v>3.0196000000000001E-2</v>
      </c>
      <c r="E133" s="195"/>
      <c r="F133" s="195">
        <v>3.0023999999999999E-2</v>
      </c>
      <c r="G133" s="195"/>
      <c r="H133" s="198">
        <v>3.639599999999632E-2</v>
      </c>
      <c r="I133" s="19"/>
      <c r="J133" s="198">
        <v>4.1516999999998902E-2</v>
      </c>
      <c r="K133" s="34"/>
      <c r="L133" s="35">
        <f>255.751082-255.709809</f>
        <v>4.1272999999989679E-2</v>
      </c>
      <c r="M133" s="34"/>
      <c r="N133" s="195">
        <f>255.751082-255.712827</f>
        <v>3.8254999999992378E-2</v>
      </c>
      <c r="O133" s="195"/>
      <c r="P133" s="195">
        <f>255.751082-255.714686</f>
        <v>3.639599999999632E-2</v>
      </c>
      <c r="Q133" s="19"/>
      <c r="R133" s="198">
        <f>255.751082-255.72797</f>
        <v>2.3111999999997579E-2</v>
      </c>
      <c r="S133" s="34"/>
      <c r="T133" s="35">
        <v>2.1531999999999999E-2</v>
      </c>
      <c r="U133" s="34"/>
      <c r="V133" s="35">
        <v>1.5737999999999999E-2</v>
      </c>
      <c r="W133" s="34"/>
      <c r="X133" s="35">
        <v>1.0773E-2</v>
      </c>
      <c r="Y133" s="165"/>
      <c r="Z133" s="35">
        <v>9.1311000000000003E-2</v>
      </c>
      <c r="AA133" s="34"/>
      <c r="AB133" s="35">
        <v>8.9325000000000002E-2</v>
      </c>
      <c r="AC133" s="34"/>
      <c r="AD133" s="35">
        <v>8.9325000000000002E-2</v>
      </c>
      <c r="AE133" s="34"/>
      <c r="AF133" s="35">
        <v>0.235206</v>
      </c>
      <c r="AG133" s="19"/>
      <c r="AH133" s="148">
        <v>8.5205999999999449E-2</v>
      </c>
      <c r="AI133" s="19"/>
      <c r="AJ133" s="35">
        <v>8.5205999999999449E-2</v>
      </c>
      <c r="AK133" s="9"/>
      <c r="AL133" s="35">
        <v>8.5205999999999449E-2</v>
      </c>
      <c r="AM133" s="9"/>
      <c r="AN133" s="35">
        <v>0.20675700000001029</v>
      </c>
      <c r="AO133" s="149"/>
    </row>
    <row r="134" spans="1:140" x14ac:dyDescent="0.25">
      <c r="A134" t="s">
        <v>138</v>
      </c>
      <c r="B134" s="151">
        <f t="shared" ref="B134" si="170">B132-B133</f>
        <v>255.72186299999998</v>
      </c>
      <c r="C134"/>
      <c r="D134" s="151">
        <f t="shared" ref="D134" si="171">D132-D133</f>
        <v>255.72088600000001</v>
      </c>
      <c r="E134" s="151"/>
      <c r="F134" s="151">
        <f t="shared" ref="F134" si="172">F132-F133</f>
        <v>255.721058</v>
      </c>
      <c r="G134" s="151"/>
      <c r="H134" s="151">
        <v>255.714686</v>
      </c>
      <c r="I134" s="15"/>
      <c r="J134" s="151">
        <f t="shared" ref="J134:L134" si="173">J132-J133</f>
        <v>255.709565</v>
      </c>
      <c r="K134"/>
      <c r="L134" s="151">
        <f t="shared" si="173"/>
        <v>255.70980900000001</v>
      </c>
      <c r="M134"/>
      <c r="N134" s="151">
        <f t="shared" ref="N134:P134" si="174">N132-N133</f>
        <v>255.712827</v>
      </c>
      <c r="O134" s="151"/>
      <c r="P134" s="151">
        <f t="shared" si="174"/>
        <v>255.714686</v>
      </c>
      <c r="R134" s="150">
        <f t="shared" ref="R134" si="175">R132-R133</f>
        <v>255.72797</v>
      </c>
      <c r="S134"/>
      <c r="T134" s="151">
        <f t="shared" ref="T134" si="176">T132-T133</f>
        <v>255.72954999999999</v>
      </c>
      <c r="U134"/>
      <c r="V134" s="151">
        <f t="shared" ref="V134" si="177">V132-V133</f>
        <v>255.735344</v>
      </c>
      <c r="W134"/>
      <c r="X134" s="201">
        <f t="shared" ref="X134" si="178">X132-X133</f>
        <v>255.740309</v>
      </c>
      <c r="Y134" s="136"/>
      <c r="Z134" s="151">
        <f t="shared" ref="Z134:AD134" si="179">Z132-Z133</f>
        <v>255.65977100000001</v>
      </c>
      <c r="AA134"/>
      <c r="AB134" s="151">
        <f t="shared" si="179"/>
        <v>255.66175699999999</v>
      </c>
      <c r="AC134"/>
      <c r="AD134" s="151">
        <f t="shared" si="179"/>
        <v>255.66175699999999</v>
      </c>
      <c r="AE134"/>
      <c r="AF134" s="151">
        <f t="shared" ref="AF134" si="180">AF132-AF133</f>
        <v>255.51587599999999</v>
      </c>
      <c r="AH134" s="150">
        <v>255.665876</v>
      </c>
      <c r="AJ134" s="151">
        <v>255.665876</v>
      </c>
      <c r="AK134" s="151"/>
      <c r="AL134" s="151">
        <v>255.665876</v>
      </c>
      <c r="AM134" s="151"/>
      <c r="AN134" s="151">
        <v>255.54432499999999</v>
      </c>
      <c r="AO134" s="152"/>
    </row>
    <row r="135" spans="1:140" x14ac:dyDescent="0.25">
      <c r="B135" s="199"/>
      <c r="D135" s="7"/>
      <c r="E135" s="7"/>
      <c r="F135" s="7"/>
      <c r="G135" s="7"/>
      <c r="H135" s="199"/>
      <c r="I135" s="15"/>
      <c r="J135" s="199"/>
      <c r="L135" s="153"/>
      <c r="N135" s="7"/>
      <c r="O135" s="7"/>
      <c r="P135" s="7"/>
      <c r="R135" s="199"/>
      <c r="T135" s="153"/>
      <c r="V135" s="153"/>
      <c r="X135" s="7"/>
      <c r="Y135" s="136"/>
      <c r="Z135" s="153"/>
      <c r="AB135" s="153"/>
      <c r="AD135" s="153"/>
      <c r="AF135" s="7"/>
      <c r="AH135" s="106"/>
      <c r="AJ135" s="151"/>
      <c r="AL135" s="153"/>
      <c r="AN135" s="153"/>
      <c r="AO135" s="96"/>
      <c r="AP135" s="15"/>
      <c r="AQ135" s="15"/>
      <c r="AR135" s="15"/>
      <c r="AS135" s="15"/>
      <c r="AT135" s="15"/>
    </row>
    <row r="136" spans="1:140" ht="15.75" thickBot="1" x14ac:dyDescent="0.3">
      <c r="A136" s="49" t="s">
        <v>40</v>
      </c>
      <c r="B136" s="154">
        <f>B9/B134</f>
        <v>106.32254779091767</v>
      </c>
      <c r="C136" s="49"/>
      <c r="D136" s="50">
        <f>D9/D134</f>
        <v>102.85823896292929</v>
      </c>
      <c r="E136" s="50"/>
      <c r="F136" s="50">
        <f>F9/F134</f>
        <v>99.487309332186484</v>
      </c>
      <c r="G136" s="50"/>
      <c r="H136" s="154">
        <f>H9/H134</f>
        <v>102.32497948905446</v>
      </c>
      <c r="I136" s="42"/>
      <c r="J136" s="154">
        <f>J9/J134</f>
        <v>99.053783928653587</v>
      </c>
      <c r="K136" s="49"/>
      <c r="L136" s="50">
        <f>L9/L134</f>
        <v>95.815643896554633</v>
      </c>
      <c r="M136" s="49"/>
      <c r="N136" s="50">
        <f>N9/N134</f>
        <v>96.080436356053426</v>
      </c>
      <c r="O136" s="50"/>
      <c r="P136" s="50">
        <f>P9/P134</f>
        <v>93.115496698535338</v>
      </c>
      <c r="Q136" s="42"/>
      <c r="R136" s="154">
        <f>R9/R134</f>
        <v>95.973076390509803</v>
      </c>
      <c r="S136" s="49"/>
      <c r="T136" s="50">
        <f>T9/T134</f>
        <v>93.512853715966742</v>
      </c>
      <c r="U136" s="49"/>
      <c r="V136" s="50">
        <f>V9/V134</f>
        <v>91.317060969093106</v>
      </c>
      <c r="W136" s="49"/>
      <c r="X136" s="50">
        <f>X9/X134</f>
        <v>90.552795883264537</v>
      </c>
      <c r="Y136" s="173"/>
      <c r="Z136" s="50">
        <f>Z9/Z134</f>
        <v>89.900729825812135</v>
      </c>
      <c r="AA136" s="49"/>
      <c r="AB136" s="50">
        <f>AB9/AB134</f>
        <v>87.596206264044412</v>
      </c>
      <c r="AC136" s="49"/>
      <c r="AD136" s="50">
        <f>AD9/AD134</f>
        <v>85.441014942254355</v>
      </c>
      <c r="AE136" s="49"/>
      <c r="AF136" s="50">
        <f>AF9/AF134</f>
        <v>86.546481362277476</v>
      </c>
      <c r="AG136" s="42"/>
      <c r="AH136" s="154">
        <v>82.274034251602657</v>
      </c>
      <c r="AI136" s="42"/>
      <c r="AJ136" s="50">
        <v>80.018693432243964</v>
      </c>
      <c r="AK136" s="44"/>
      <c r="AL136" s="50">
        <v>77.280154087399993</v>
      </c>
      <c r="AM136" s="44"/>
      <c r="AN136" s="50">
        <v>79.242819961742839</v>
      </c>
      <c r="AO136" s="155"/>
      <c r="AP136" s="15"/>
      <c r="AQ136" s="15"/>
      <c r="AR136" s="15"/>
      <c r="AS136" s="15"/>
      <c r="AT136" s="15"/>
    </row>
    <row r="137" spans="1:140" x14ac:dyDescent="0.25">
      <c r="A137" s="36"/>
      <c r="B137" s="106"/>
      <c r="C137" s="183"/>
      <c r="D137" s="31"/>
      <c r="E137" s="31"/>
      <c r="F137" s="31"/>
      <c r="G137" s="31"/>
      <c r="H137" s="31"/>
      <c r="I137" s="31"/>
      <c r="J137" s="106"/>
      <c r="K137" s="183"/>
      <c r="M137" s="183"/>
      <c r="N137" s="31"/>
      <c r="O137" s="31"/>
      <c r="P137" s="31"/>
      <c r="Q137" s="31"/>
      <c r="R137" s="106"/>
      <c r="S137" s="183"/>
      <c r="U137" s="183"/>
      <c r="W137" s="183"/>
      <c r="X137" s="31"/>
      <c r="Y137" s="190"/>
      <c r="AA137" s="183"/>
      <c r="AC137" s="183"/>
      <c r="AE137" s="183"/>
      <c r="AF137" s="31"/>
      <c r="AG137" s="31"/>
      <c r="AH137" s="156"/>
      <c r="AI137" s="31"/>
      <c r="AO137" s="96"/>
      <c r="AP137" s="15"/>
      <c r="AQ137" s="15"/>
      <c r="AR137" s="15"/>
      <c r="AS137" s="15"/>
      <c r="AT137" s="15"/>
    </row>
    <row r="138" spans="1:140" ht="15.75" thickBot="1" x14ac:dyDescent="0.3">
      <c r="A138" s="49" t="s">
        <v>139</v>
      </c>
      <c r="B138" s="154">
        <f>B5/B134</f>
        <v>12.877295516965635</v>
      </c>
      <c r="C138" s="50">
        <f>C5/B134</f>
        <v>3.8148243898880092</v>
      </c>
      <c r="D138" s="50">
        <f>D5/D134</f>
        <v>9.0625057508990494</v>
      </c>
      <c r="E138" s="50">
        <f>E5/D134</f>
        <v>3.1636054944686842</v>
      </c>
      <c r="F138" s="50">
        <f>F5/F134</f>
        <v>5.8988962887835381</v>
      </c>
      <c r="G138" s="50">
        <f>G5/F134</f>
        <v>3.0298638917722607</v>
      </c>
      <c r="H138" s="157">
        <f>H5/H134</f>
        <v>2.8691038886988292</v>
      </c>
      <c r="I138" s="157">
        <f>I5/H134</f>
        <v>2.8691038886988292</v>
      </c>
      <c r="J138" s="154">
        <f>J5/J134</f>
        <v>12.081640356315964</v>
      </c>
      <c r="K138" s="50">
        <f>K5/J134</f>
        <v>3.4073070360117343</v>
      </c>
      <c r="L138" s="50">
        <f>L5/L134+0.005</f>
        <v>8.6793250431976983</v>
      </c>
      <c r="M138" s="50">
        <f>M5/L134</f>
        <v>2.7994897919617934</v>
      </c>
      <c r="N138" s="50">
        <f>N5/N134-0.01</f>
        <v>5.8647659146562869</v>
      </c>
      <c r="O138" s="50">
        <f>O5/N134-0.01</f>
        <v>3.126092191417523</v>
      </c>
      <c r="P138" s="50">
        <f>P5/P134</f>
        <v>2.7386538135709575</v>
      </c>
      <c r="Q138" s="157">
        <f>Q5/P134</f>
        <v>2.7386538135709575</v>
      </c>
      <c r="R138" s="154">
        <f>R5/R134</f>
        <v>5.8749615851562895</v>
      </c>
      <c r="S138" s="50">
        <f>S5/R134</f>
        <v>2.2954078898761057</v>
      </c>
      <c r="T138" s="50">
        <f>T5/T134</f>
        <v>3.5795315793579587</v>
      </c>
      <c r="U138" s="50">
        <f>U5/T134</f>
        <v>1.9043555975443589</v>
      </c>
      <c r="V138" s="50">
        <f>V5/V134</f>
        <v>1.6751380286332265</v>
      </c>
      <c r="W138" s="50">
        <f>W5/V134</f>
        <v>0.90714484893413871</v>
      </c>
      <c r="X138" s="50">
        <f>X5/X134</f>
        <v>0.76797826970639982</v>
      </c>
      <c r="Y138" s="157">
        <f>Y5/X134</f>
        <v>0.76797826970639982</v>
      </c>
      <c r="Z138" s="154">
        <f>Z5/Z134</f>
        <v>12.062906838792404</v>
      </c>
      <c r="AA138" s="50">
        <f>AA5/Z134</f>
        <v>1.8383807439145363</v>
      </c>
      <c r="AB138" s="50">
        <f>AB5/AB134</f>
        <v>10.224446669980447</v>
      </c>
      <c r="AC138" s="50">
        <f>AC5/AB134</f>
        <v>2.2725338619964188</v>
      </c>
      <c r="AD138" s="50">
        <f>AD5/AD134</f>
        <v>7.9519128079840273</v>
      </c>
      <c r="AE138" s="50">
        <f>AE5/AD134</f>
        <v>3.4850734441287594</v>
      </c>
      <c r="AF138" s="50">
        <f>AF5/AF134</f>
        <v>4.4693896045817523</v>
      </c>
      <c r="AG138" s="157">
        <f>AG5/AF134</f>
        <v>4.4693896045817523</v>
      </c>
      <c r="AH138" s="154">
        <v>8.9614920372478881</v>
      </c>
      <c r="AI138" s="50">
        <v>2.0584627878145731</v>
      </c>
      <c r="AJ138" s="50">
        <v>6.9030292494333132</v>
      </c>
      <c r="AK138" s="50">
        <v>2.4748021642121349</v>
      </c>
      <c r="AL138" s="50">
        <v>4.4282270852211791</v>
      </c>
      <c r="AM138" s="50">
        <v>2.4081140925118989</v>
      </c>
      <c r="AN138" s="50">
        <v>2.0210738700614836</v>
      </c>
      <c r="AO138" s="157">
        <v>2.0210738700614836</v>
      </c>
      <c r="AP138" s="70"/>
      <c r="AQ138" s="15"/>
      <c r="AR138" s="15"/>
      <c r="AS138" s="15"/>
      <c r="AT138" s="15"/>
    </row>
    <row r="139" spans="1:140" x14ac:dyDescent="0.25">
      <c r="B139" s="171"/>
      <c r="H139" s="15"/>
      <c r="I139" s="15"/>
      <c r="J139" s="171"/>
      <c r="L139" s="24"/>
      <c r="R139" s="171"/>
      <c r="T139" s="24"/>
      <c r="V139" s="24"/>
      <c r="Y139" s="136"/>
      <c r="Z139" s="24"/>
      <c r="AB139" s="24"/>
      <c r="AD139" s="24"/>
      <c r="AH139" s="95"/>
      <c r="AJ139" s="24"/>
      <c r="AK139" s="24"/>
      <c r="AL139" s="24"/>
      <c r="AM139" s="24"/>
      <c r="AN139" s="24"/>
      <c r="AO139" s="158"/>
      <c r="AP139" s="70"/>
      <c r="AQ139" s="15"/>
      <c r="AR139" s="15"/>
      <c r="AS139" s="15"/>
      <c r="AT139" s="15"/>
    </row>
    <row r="140" spans="1:140" x14ac:dyDescent="0.25">
      <c r="A140" t="s">
        <v>140</v>
      </c>
      <c r="B140" s="172">
        <v>120.7</v>
      </c>
      <c r="C140" s="162">
        <f>B140</f>
        <v>120.7</v>
      </c>
      <c r="D140" s="160">
        <v>102</v>
      </c>
      <c r="E140" s="160">
        <f>D140</f>
        <v>102</v>
      </c>
      <c r="F140" s="160">
        <v>106.7</v>
      </c>
      <c r="G140" s="160">
        <v>106.7</v>
      </c>
      <c r="H140" s="172">
        <v>134.30000000000001</v>
      </c>
      <c r="I140" s="4">
        <v>134.30000000000001</v>
      </c>
      <c r="J140" s="172">
        <v>133.19999999999999</v>
      </c>
      <c r="K140" s="162">
        <f>J140</f>
        <v>133.19999999999999</v>
      </c>
      <c r="L140" s="160">
        <v>121.5</v>
      </c>
      <c r="M140" s="162">
        <f>L140</f>
        <v>121.5</v>
      </c>
      <c r="N140" s="160">
        <f>O140</f>
        <v>113.7</v>
      </c>
      <c r="O140" s="160">
        <v>113.7</v>
      </c>
      <c r="P140" s="160">
        <f>Q140</f>
        <v>105</v>
      </c>
      <c r="Q140" s="4">
        <v>105</v>
      </c>
      <c r="R140" s="172">
        <v>91</v>
      </c>
      <c r="S140" s="162">
        <f>R140</f>
        <v>91</v>
      </c>
      <c r="T140" s="160">
        <v>77.400000000000006</v>
      </c>
      <c r="U140" s="162">
        <f>T140</f>
        <v>77.400000000000006</v>
      </c>
      <c r="V140" s="160">
        <v>69.900000000000006</v>
      </c>
      <c r="W140" s="162">
        <f>V140</f>
        <v>69.900000000000006</v>
      </c>
      <c r="X140" s="160">
        <v>59.2</v>
      </c>
      <c r="Y140" s="192">
        <f>X140</f>
        <v>59.2</v>
      </c>
      <c r="Z140" s="160">
        <v>100</v>
      </c>
      <c r="AA140" s="162">
        <f>Z140</f>
        <v>100</v>
      </c>
      <c r="AB140" s="160">
        <v>99.15</v>
      </c>
      <c r="AC140" s="162">
        <f>AB140</f>
        <v>99.15</v>
      </c>
      <c r="AD140" s="160">
        <v>103.9</v>
      </c>
      <c r="AE140" s="162">
        <f>AD140</f>
        <v>103.9</v>
      </c>
      <c r="AF140" s="160">
        <v>99.4</v>
      </c>
      <c r="AG140" s="4">
        <f>AF140</f>
        <v>99.4</v>
      </c>
      <c r="AH140" s="159">
        <v>89.2</v>
      </c>
      <c r="AI140" s="147">
        <v>89.2</v>
      </c>
      <c r="AJ140" s="147">
        <v>99</v>
      </c>
      <c r="AK140" s="160">
        <v>99</v>
      </c>
      <c r="AL140" s="160">
        <v>86.4</v>
      </c>
      <c r="AM140" s="160">
        <v>86.4</v>
      </c>
      <c r="AN140" s="160">
        <v>86.2</v>
      </c>
      <c r="AO140" s="161">
        <v>86.2</v>
      </c>
      <c r="AP140" s="15"/>
      <c r="AQ140" s="15"/>
      <c r="AR140" s="15"/>
      <c r="AS140" s="15"/>
      <c r="AT140" s="15"/>
    </row>
    <row r="141" spans="1:140" x14ac:dyDescent="0.25">
      <c r="A141" s="15" t="s">
        <v>141</v>
      </c>
      <c r="B141" s="159">
        <f>B138</f>
        <v>12.877295516965635</v>
      </c>
      <c r="C141" s="13">
        <f>C138*4</f>
        <v>15.259297559552037</v>
      </c>
      <c r="D141" s="13">
        <f>D138/3*4</f>
        <v>12.083341001198733</v>
      </c>
      <c r="E141" s="13">
        <f>E138*4</f>
        <v>12.654421977874737</v>
      </c>
      <c r="F141" s="13">
        <f>+F138/2*4</f>
        <v>11.797792577567076</v>
      </c>
      <c r="G141" s="13">
        <f>G138*4</f>
        <v>12.119455567089043</v>
      </c>
      <c r="H141" s="159">
        <f>(H138)/1*4</f>
        <v>11.476415554795317</v>
      </c>
      <c r="I141" s="13">
        <f>H141</f>
        <v>11.476415554795317</v>
      </c>
      <c r="J141" s="159">
        <f>J138</f>
        <v>12.081640356315964</v>
      </c>
      <c r="K141" s="13">
        <f>K138*4</f>
        <v>13.629228144046937</v>
      </c>
      <c r="L141" s="13">
        <f>L138/3*4</f>
        <v>11.572433390930264</v>
      </c>
      <c r="M141" s="13">
        <f>M138*4</f>
        <v>11.197959167847173</v>
      </c>
      <c r="N141" s="13">
        <f>N138/2*4</f>
        <v>11.729531829312574</v>
      </c>
      <c r="O141" s="13">
        <f>O138*4</f>
        <v>12.504368765670092</v>
      </c>
      <c r="P141" s="13">
        <f>(P138)/1*4</f>
        <v>10.95461525428383</v>
      </c>
      <c r="Q141" s="13">
        <f>P141</f>
        <v>10.95461525428383</v>
      </c>
      <c r="R141" s="159">
        <f>R138</f>
        <v>5.8749615851562895</v>
      </c>
      <c r="S141" s="13">
        <f>S138*4</f>
        <v>9.1816315595044227</v>
      </c>
      <c r="T141" s="13">
        <f>T138/3*4</f>
        <v>4.7727087724772783</v>
      </c>
      <c r="U141" s="13">
        <f>U138*4</f>
        <v>7.6174223901774356</v>
      </c>
      <c r="V141" s="13">
        <f>V138/2*4</f>
        <v>3.3502760572664529</v>
      </c>
      <c r="W141" s="13">
        <f>W138*4</f>
        <v>3.6285793957365549</v>
      </c>
      <c r="X141" s="13">
        <f>(X138)/1*4</f>
        <v>3.0719130788255993</v>
      </c>
      <c r="Y141" s="163">
        <f>X141</f>
        <v>3.0719130788255993</v>
      </c>
      <c r="Z141" s="13">
        <f>Z138</f>
        <v>12.062906838792404</v>
      </c>
      <c r="AA141" s="13">
        <f>AA138*4</f>
        <v>7.3535229756581453</v>
      </c>
      <c r="AB141" s="13">
        <f>AB138/3*4</f>
        <v>13.632595559973929</v>
      </c>
      <c r="AC141" s="13">
        <f>AC138*4</f>
        <v>9.0901354479856753</v>
      </c>
      <c r="AD141" s="13">
        <f>AD138/2*4</f>
        <v>15.903825615968055</v>
      </c>
      <c r="AE141" s="13">
        <f>AE138*4</f>
        <v>13.940293776515038</v>
      </c>
      <c r="AF141" s="13">
        <f>(AF138+0.005)/1*4</f>
        <v>17.897558418327009</v>
      </c>
      <c r="AG141" s="13">
        <f>AF141</f>
        <v>17.897558418327009</v>
      </c>
      <c r="AH141" s="159">
        <v>8.9614920372478881</v>
      </c>
      <c r="AI141" s="13">
        <v>8.2338511512582926</v>
      </c>
      <c r="AJ141" s="162">
        <v>9.2040389992444176</v>
      </c>
      <c r="AK141" s="162">
        <v>9.8992086568485398</v>
      </c>
      <c r="AL141" s="13">
        <v>8.8564541704423583</v>
      </c>
      <c r="AM141" s="13">
        <v>9.6324563700475956</v>
      </c>
      <c r="AN141" s="13">
        <v>8.0842954802459346</v>
      </c>
      <c r="AO141" s="163">
        <v>8.0842954802459346</v>
      </c>
      <c r="AP141" s="15"/>
      <c r="AQ141" s="15"/>
      <c r="AR141" s="15"/>
      <c r="AS141" s="15"/>
      <c r="AT141" s="15"/>
    </row>
    <row r="142" spans="1:140" s="21" customFormat="1" ht="15.75" thickBot="1" x14ac:dyDescent="0.3">
      <c r="A142" s="49" t="s">
        <v>42</v>
      </c>
      <c r="B142" s="154">
        <f>B140/B141</f>
        <v>9.3730861298461043</v>
      </c>
      <c r="C142" s="50">
        <f>C140/C141</f>
        <v>7.9099316026145674</v>
      </c>
      <c r="D142" s="50">
        <f>D140/D141</f>
        <v>8.4413739536011647</v>
      </c>
      <c r="E142" s="50">
        <f>E140/E141+0.01</f>
        <v>8.0704234771322607</v>
      </c>
      <c r="F142" s="50">
        <f>F140/F141</f>
        <v>9.0440647518150818</v>
      </c>
      <c r="G142" s="50">
        <f>G140/G141</f>
        <v>8.804025841701085</v>
      </c>
      <c r="H142" s="154">
        <f>(H140)/H141-0.01</f>
        <v>11.692260114124569</v>
      </c>
      <c r="I142" s="89">
        <f>I140/I141</f>
        <v>11.702260114124568</v>
      </c>
      <c r="J142" s="154">
        <f>J140/J141+0.01</f>
        <v>11.034992970459225</v>
      </c>
      <c r="K142" s="50">
        <f>K140/K141</f>
        <v>9.773113971841461</v>
      </c>
      <c r="L142" s="50">
        <f>L140/L141</f>
        <v>10.499088298509799</v>
      </c>
      <c r="M142" s="50">
        <f>M140/M141</f>
        <v>10.850191376734461</v>
      </c>
      <c r="N142" s="50">
        <f>N140/N141-0.01</f>
        <v>9.6834815178095273</v>
      </c>
      <c r="O142" s="50">
        <f>O140/O141-0.01</f>
        <v>9.0828220472956414</v>
      </c>
      <c r="P142" s="50">
        <f>(P140)/P141-0.01</f>
        <v>9.5750011673335109</v>
      </c>
      <c r="Q142" s="89">
        <f>Q140/Q141-0.01</f>
        <v>9.5750011673335109</v>
      </c>
      <c r="R142" s="154">
        <f>R140/R141+0.01</f>
        <v>15.499462983029728</v>
      </c>
      <c r="S142" s="50">
        <f>S140/S141-0.02</f>
        <v>9.8910925340715501</v>
      </c>
      <c r="T142" s="50">
        <f>T140/T141</f>
        <v>16.217205718970671</v>
      </c>
      <c r="U142" s="50">
        <f>U140/U141+0.02</f>
        <v>10.180917438398357</v>
      </c>
      <c r="V142" s="50">
        <f>V140/V141</f>
        <v>20.863952344581598</v>
      </c>
      <c r="W142" s="50">
        <f>W140/W141-0.06</f>
        <v>19.20373723064456</v>
      </c>
      <c r="X142" s="50">
        <f>(X140)/X141-0.05</f>
        <v>19.221378610306356</v>
      </c>
      <c r="Y142" s="191">
        <f>Y140/Y141-0.05</f>
        <v>19.221378610306356</v>
      </c>
      <c r="Z142" s="50">
        <f>Z140/Z141</f>
        <v>8.28987584306096</v>
      </c>
      <c r="AA142" s="50">
        <f>AA140/AA141-0.01</f>
        <v>13.588923989361703</v>
      </c>
      <c r="AB142" s="50">
        <f>AB140/AB141+0.01</f>
        <v>7.2830097187882554</v>
      </c>
      <c r="AC142" s="50">
        <f>AC140/AC141+0.01</f>
        <v>10.917428230012909</v>
      </c>
      <c r="AD142" s="50">
        <f t="shared" ref="AD142" si="181">AD140/AD141</f>
        <v>6.5330193193064439</v>
      </c>
      <c r="AE142" s="50">
        <f>AE140/AE141-0.01</f>
        <v>7.4432145208473637</v>
      </c>
      <c r="AF142" s="50">
        <f>AF140/AF141</f>
        <v>5.5538301748586507</v>
      </c>
      <c r="AG142" s="89">
        <f>AG140/AG141+0.01</f>
        <v>5.5638301748586505</v>
      </c>
      <c r="AH142" s="154">
        <v>9.9636996327448273</v>
      </c>
      <c r="AI142" s="89">
        <v>10.833326758204574</v>
      </c>
      <c r="AJ142" s="50">
        <v>10.756147383570099</v>
      </c>
      <c r="AK142" s="50">
        <v>10.000799400415621</v>
      </c>
      <c r="AL142" s="50">
        <v>9.7555972556548038</v>
      </c>
      <c r="AM142" s="50">
        <v>8.9696746791050437</v>
      </c>
      <c r="AN142" s="50">
        <v>10.662648366902305</v>
      </c>
      <c r="AO142" s="157">
        <v>10.662648366902305</v>
      </c>
      <c r="AP142" s="41"/>
      <c r="AQ142" s="41"/>
      <c r="AR142" s="41"/>
      <c r="AS142" s="41"/>
      <c r="AT142" s="41"/>
    </row>
    <row r="143" spans="1:140" x14ac:dyDescent="0.25">
      <c r="B143" s="106"/>
      <c r="D143" s="7"/>
      <c r="E143" s="7"/>
      <c r="F143" s="7"/>
      <c r="G143" s="7"/>
      <c r="H143" s="15"/>
      <c r="I143" s="15"/>
      <c r="J143" s="106"/>
      <c r="N143" s="7"/>
      <c r="O143" s="7"/>
      <c r="P143" s="7"/>
      <c r="R143" s="106"/>
      <c r="X143" s="7"/>
      <c r="Y143" s="136"/>
      <c r="AF143" s="7"/>
      <c r="AH143" s="95"/>
      <c r="AO143" s="96"/>
      <c r="AP143" s="15"/>
      <c r="AQ143" s="15"/>
      <c r="AR143" s="15"/>
      <c r="AS143" s="15"/>
      <c r="AT143" s="15"/>
    </row>
    <row r="144" spans="1:140" x14ac:dyDescent="0.25">
      <c r="A144" s="15" t="s">
        <v>140</v>
      </c>
      <c r="B144" s="146">
        <f>B140</f>
        <v>120.7</v>
      </c>
      <c r="C144" s="15"/>
      <c r="D144" s="147">
        <f>D140</f>
        <v>102</v>
      </c>
      <c r="E144" s="147"/>
      <c r="F144" s="147">
        <f>F140</f>
        <v>106.7</v>
      </c>
      <c r="G144" s="147"/>
      <c r="H144" s="146">
        <f>H140</f>
        <v>134.30000000000001</v>
      </c>
      <c r="J144" s="146">
        <f>J140</f>
        <v>133.19999999999999</v>
      </c>
      <c r="K144" s="15"/>
      <c r="L144" s="147">
        <f>L140</f>
        <v>121.5</v>
      </c>
      <c r="M144" s="15"/>
      <c r="N144" s="147">
        <f>N140</f>
        <v>113.7</v>
      </c>
      <c r="O144" s="147"/>
      <c r="P144" s="147">
        <f>P140</f>
        <v>105</v>
      </c>
      <c r="Q144" s="7"/>
      <c r="R144" s="146">
        <f>R140</f>
        <v>91</v>
      </c>
      <c r="S144" s="15"/>
      <c r="T144" s="147">
        <f>T140</f>
        <v>77.400000000000006</v>
      </c>
      <c r="U144" s="15"/>
      <c r="V144" s="147">
        <f>V140</f>
        <v>69.900000000000006</v>
      </c>
      <c r="W144" s="15"/>
      <c r="X144" s="147">
        <f>X140</f>
        <v>59.2</v>
      </c>
      <c r="Y144" s="96"/>
      <c r="Z144" s="147">
        <f>Z140</f>
        <v>100</v>
      </c>
      <c r="AA144" s="15"/>
      <c r="AB144" s="147">
        <f>AB140</f>
        <v>99.15</v>
      </c>
      <c r="AC144" s="15"/>
      <c r="AD144" s="147">
        <f>AD140</f>
        <v>103.9</v>
      </c>
      <c r="AE144" s="15"/>
      <c r="AF144" s="147">
        <f>AF140</f>
        <v>99.4</v>
      </c>
      <c r="AG144" s="7"/>
      <c r="AH144" s="146">
        <v>89.2</v>
      </c>
      <c r="AI144" s="7"/>
      <c r="AJ144" s="147">
        <v>99</v>
      </c>
      <c r="AL144" s="147">
        <v>86.4</v>
      </c>
      <c r="AN144" s="147">
        <v>86.2</v>
      </c>
      <c r="AO144" s="96"/>
      <c r="AP144" s="16"/>
      <c r="AQ144" s="15"/>
      <c r="AR144" s="16"/>
      <c r="AS144" s="15"/>
      <c r="AT144" s="16"/>
      <c r="AV144" s="4"/>
      <c r="AX144" s="4"/>
      <c r="AZ144" s="4"/>
      <c r="BB144" s="4"/>
      <c r="BD144" s="4"/>
      <c r="BF144" s="4"/>
      <c r="BH144" s="4"/>
      <c r="BJ144" s="4"/>
      <c r="BL144" s="4"/>
      <c r="BN144" s="4"/>
      <c r="BP144" s="4"/>
      <c r="BR144" s="4"/>
      <c r="BT144" s="4"/>
      <c r="BV144" s="4"/>
      <c r="BX144" s="4"/>
      <c r="BZ144" s="4"/>
      <c r="CB144" s="4"/>
      <c r="CD144" s="4"/>
      <c r="CF144" s="4"/>
      <c r="CH144" s="4"/>
      <c r="CJ144" s="4"/>
      <c r="CL144" s="4"/>
      <c r="CN144" s="4"/>
      <c r="CP144" s="4"/>
      <c r="CR144" s="4"/>
      <c r="CT144" s="4"/>
      <c r="CV144" s="4"/>
      <c r="CX144" s="4"/>
      <c r="CZ144" s="4"/>
      <c r="DB144" s="4"/>
      <c r="DD144" s="4"/>
      <c r="DF144" s="4"/>
      <c r="DH144" s="4"/>
      <c r="DJ144" s="4"/>
      <c r="DL144" s="4"/>
      <c r="DN144" s="4"/>
      <c r="DP144" s="4"/>
      <c r="DR144" s="4"/>
      <c r="DT144" s="4"/>
      <c r="DV144" s="4"/>
      <c r="DX144" s="4"/>
      <c r="DZ144" s="4"/>
      <c r="EB144" s="4"/>
      <c r="ED144" s="4"/>
      <c r="EF144" s="4"/>
      <c r="EH144" s="4"/>
      <c r="EJ144" s="4"/>
    </row>
    <row r="145" spans="1:140" x14ac:dyDescent="0.25">
      <c r="A145" s="19" t="s">
        <v>142</v>
      </c>
      <c r="B145" s="164">
        <f>B136</f>
        <v>106.32254779091767</v>
      </c>
      <c r="C145" s="19"/>
      <c r="D145" s="14">
        <f>D136</f>
        <v>102.85823896292929</v>
      </c>
      <c r="E145" s="14"/>
      <c r="F145" s="14">
        <f>F136</f>
        <v>99.487309332186484</v>
      </c>
      <c r="G145" s="14"/>
      <c r="H145" s="164">
        <f>H136</f>
        <v>102.32497948905446</v>
      </c>
      <c r="I145" s="9"/>
      <c r="J145" s="164">
        <f>J136</f>
        <v>99.053783928653587</v>
      </c>
      <c r="K145" s="19"/>
      <c r="L145" s="14">
        <f>L136</f>
        <v>95.815643896554633</v>
      </c>
      <c r="M145" s="19"/>
      <c r="N145" s="14">
        <f>N136</f>
        <v>96.080436356053426</v>
      </c>
      <c r="O145" s="14"/>
      <c r="P145" s="14">
        <f>P136</f>
        <v>93.115496698535338</v>
      </c>
      <c r="Q145" s="9"/>
      <c r="R145" s="164">
        <f>R136</f>
        <v>95.973076390509803</v>
      </c>
      <c r="S145" s="19"/>
      <c r="T145" s="14">
        <f>T136</f>
        <v>93.512853715966742</v>
      </c>
      <c r="U145" s="19"/>
      <c r="V145" s="14">
        <f>V136</f>
        <v>91.317060969093106</v>
      </c>
      <c r="W145" s="19"/>
      <c r="X145" s="14">
        <f>X136</f>
        <v>90.552795883264537</v>
      </c>
      <c r="Y145" s="149"/>
      <c r="Z145" s="14">
        <f>Z136</f>
        <v>89.900729825812135</v>
      </c>
      <c r="AA145" s="19"/>
      <c r="AB145" s="14">
        <f>AB136</f>
        <v>87.596206264044412</v>
      </c>
      <c r="AC145" s="19"/>
      <c r="AD145" s="14">
        <f>AD136</f>
        <v>85.441014942254355</v>
      </c>
      <c r="AE145" s="19"/>
      <c r="AF145" s="14">
        <f>AF136</f>
        <v>86.546481362277476</v>
      </c>
      <c r="AG145" s="9"/>
      <c r="AH145" s="164">
        <v>82.274034251602657</v>
      </c>
      <c r="AI145" s="9"/>
      <c r="AJ145" s="14">
        <v>80.018693432243964</v>
      </c>
      <c r="AK145" s="19"/>
      <c r="AL145" s="14">
        <v>77.280154087399993</v>
      </c>
      <c r="AM145" s="19"/>
      <c r="AN145" s="14">
        <v>79.242819961742839</v>
      </c>
      <c r="AO145" s="165"/>
      <c r="AP145" s="16"/>
      <c r="AQ145" s="15"/>
      <c r="AR145" s="16"/>
      <c r="AS145" s="15"/>
      <c r="AT145" s="16"/>
      <c r="AV145" s="4"/>
      <c r="AX145" s="4"/>
      <c r="AZ145" s="4"/>
      <c r="BB145" s="4"/>
      <c r="BD145" s="4"/>
      <c r="BF145" s="4"/>
      <c r="BH145" s="4"/>
      <c r="BJ145" s="4"/>
      <c r="BL145" s="4"/>
      <c r="BN145" s="4"/>
      <c r="BP145" s="4"/>
      <c r="BR145" s="4"/>
      <c r="BT145" s="4"/>
      <c r="BV145" s="4"/>
      <c r="BX145" s="4"/>
      <c r="BZ145" s="4"/>
      <c r="CB145" s="4"/>
      <c r="CD145" s="4"/>
      <c r="CF145" s="4"/>
      <c r="CH145" s="4"/>
      <c r="CJ145" s="4"/>
      <c r="CL145" s="4"/>
      <c r="CN145" s="4"/>
      <c r="CP145" s="4"/>
      <c r="CR145" s="4"/>
      <c r="CT145" s="4"/>
      <c r="CV145" s="4"/>
      <c r="CX145" s="4"/>
      <c r="CZ145" s="4"/>
      <c r="DB145" s="4"/>
      <c r="DD145" s="4"/>
      <c r="DF145" s="4"/>
      <c r="DH145" s="4"/>
      <c r="DJ145" s="4"/>
      <c r="DL145" s="4"/>
      <c r="DN145" s="4"/>
      <c r="DP145" s="4"/>
      <c r="DR145" s="4"/>
      <c r="DT145" s="4"/>
      <c r="DV145" s="4"/>
      <c r="DX145" s="4"/>
      <c r="DZ145" s="4"/>
      <c r="EB145" s="4"/>
      <c r="ED145" s="4"/>
      <c r="EF145" s="4"/>
      <c r="EH145" s="4"/>
      <c r="EJ145" s="4"/>
    </row>
    <row r="146" spans="1:140" s="21" customFormat="1" ht="15.75" thickBot="1" x14ac:dyDescent="0.3">
      <c r="A146" s="42" t="s">
        <v>143</v>
      </c>
      <c r="B146" s="166">
        <f>B144/B145</f>
        <v>1.1352248653536356</v>
      </c>
      <c r="C146" s="42"/>
      <c r="D146" s="43">
        <f>D144/D145</f>
        <v>0.99165609900011409</v>
      </c>
      <c r="E146" s="43"/>
      <c r="F146" s="43">
        <f>F144/F145</f>
        <v>1.0724986002358399</v>
      </c>
      <c r="G146" s="43"/>
      <c r="H146" s="166">
        <f>H144/H145</f>
        <v>1.3124849931132003</v>
      </c>
      <c r="I146" s="44"/>
      <c r="J146" s="166">
        <f>J144/J145</f>
        <v>1.3447239945516996</v>
      </c>
      <c r="K146" s="42"/>
      <c r="L146" s="43">
        <f>L144/L145</f>
        <v>1.2680601523815354</v>
      </c>
      <c r="M146" s="42"/>
      <c r="N146" s="43">
        <f>N144/N145</f>
        <v>1.1833834681875535</v>
      </c>
      <c r="O146" s="43"/>
      <c r="P146" s="43">
        <f>P144/P145</f>
        <v>1.1276318520851707</v>
      </c>
      <c r="Q146" s="44"/>
      <c r="R146" s="166">
        <f>R144/R145</f>
        <v>0.9481825885181111</v>
      </c>
      <c r="S146" s="42"/>
      <c r="T146" s="43">
        <f>T144/T145</f>
        <v>0.82769370117922547</v>
      </c>
      <c r="U146" s="42"/>
      <c r="V146" s="43">
        <f>V144/V145</f>
        <v>0.7654648458699097</v>
      </c>
      <c r="W146" s="42"/>
      <c r="X146" s="43">
        <f>X144/X145</f>
        <v>0.653762254633388</v>
      </c>
      <c r="Y146" s="155"/>
      <c r="Z146" s="43">
        <f>Z144/Z145</f>
        <v>1.112338022102332</v>
      </c>
      <c r="AA146" s="42"/>
      <c r="AB146" s="43">
        <f>AB144/AB145</f>
        <v>1.1318983347421301</v>
      </c>
      <c r="AC146" s="42"/>
      <c r="AD146" s="43">
        <f>AD144/AD145</f>
        <v>1.2160436070454128</v>
      </c>
      <c r="AE146" s="42"/>
      <c r="AF146" s="43">
        <f>AF144/AF145</f>
        <v>1.1485157852220311</v>
      </c>
      <c r="AG146" s="44"/>
      <c r="AH146" s="166">
        <v>1.0841816717923058</v>
      </c>
      <c r="AI146" s="44"/>
      <c r="AJ146" s="43">
        <v>1.2372109035225438</v>
      </c>
      <c r="AK146" s="44"/>
      <c r="AL146" s="43">
        <v>1.118010193176969</v>
      </c>
      <c r="AM146" s="44"/>
      <c r="AN146" s="43">
        <v>1.0877957150138773</v>
      </c>
      <c r="AO146" s="155"/>
      <c r="AP146" s="41"/>
      <c r="AQ146" s="41"/>
      <c r="AR146" s="41"/>
      <c r="AS146" s="41"/>
      <c r="AT146" s="41"/>
      <c r="AU146" s="41"/>
      <c r="AV146" s="41"/>
      <c r="AW146" s="41"/>
      <c r="AX146" s="41"/>
      <c r="AY146" s="41"/>
      <c r="AZ146" s="41"/>
      <c r="BA146" s="41"/>
      <c r="BB146" s="41"/>
      <c r="BC146" s="41"/>
      <c r="BD146" s="41"/>
      <c r="BE146" s="41"/>
      <c r="BF146" s="41"/>
      <c r="BG146" s="41"/>
    </row>
    <row r="147" spans="1:140" x14ac:dyDescent="0.25">
      <c r="D147" s="7"/>
      <c r="E147" s="7"/>
      <c r="F147" s="7"/>
      <c r="G147" s="7"/>
      <c r="N147" s="7"/>
      <c r="O147" s="7"/>
      <c r="P147" s="7"/>
      <c r="Q147" s="7"/>
      <c r="X147" s="7"/>
      <c r="Y147" s="7"/>
      <c r="AF147" s="7"/>
      <c r="AG147" s="7"/>
      <c r="AH147" s="7"/>
      <c r="AI147" s="7"/>
      <c r="AP147" s="15"/>
      <c r="AQ147" s="15"/>
      <c r="AR147" s="15"/>
      <c r="AS147" s="15"/>
      <c r="AT147" s="15"/>
    </row>
    <row r="148" spans="1:140" x14ac:dyDescent="0.25">
      <c r="AP148" s="15"/>
      <c r="AQ148" s="15"/>
      <c r="AR148" s="15"/>
      <c r="AS148" s="15"/>
      <c r="AT148" s="15"/>
    </row>
  </sheetData>
  <pageMargins left="0.31496062992125984" right="0.31496062992125984" top="0.15748031496062992" bottom="0.15748031496062992" header="0.31496062992125984" footer="0.31496062992125984"/>
  <pageSetup paperSize="9" scale="45" orientation="landscape" r:id="rId1"/>
  <rowBreaks count="1" manualBreakCount="1">
    <brk id="85" max="45" man="1"/>
  </rowBreaks>
  <colBreaks count="2" manualBreakCount="2">
    <brk id="25" max="141" man="1"/>
    <brk id="33" max="141" man="1"/>
  </colBreaks>
  <ignoredErrors>
    <ignoredError sqref="AF34 AF46 AF52 AF64 AF11 AF102 AB13:AD13 AC34:AD34 AD102 AB104:AD104 AB107:AD107 AB30 AB36 AB48 AB54 AB66 AB102 Z13 AA140:AA141 AC141 AF143:AG143 AF141:AG141 T13:V13 T30 T141 V141 T107:V108 T102:Z103 T104:Y104 T42:T43 T60:T62 R13 R102 P138:Q138 R138:R141 S142:V142 AE142:AG142 O15 P102 S138:AG138 P142 T64 T66 T36 T54 P34 AF40 P46:P64 X58 L13:N13 L30:L36 L42:L46 P40 L54:L60 L138:L141 N102 M104 L103:N103 L105:N108 L104 N104 L102:M102 H34 J102 H36:H40 L48" formula="1"/>
    <ignoredError sqref="X114:AE121 X136:AE137 X19:AA20 AA43 X32 Z32 Z66:AA66 X144:AE146 X26:AA26 X25 Z25 X29:AA29 X27:X28 Z27:AA28 X31:AA31 Z30:AA30 X124:AE130 Y122:AE123 Z142 X139 AD140:AE140 AB140 AB139:AE139 X143 AA61 AA64 Z143:AA143 AA34 AA52 AA36 AA49 AA54 I41:I43 I52 I54:I55 I58 I60:I61 I64 I66 I48:I49" evalError="1"/>
    <ignoredError sqref="X34:Z34 X43:Z43 X35 Z36 X46 X44 Z44 X49:Z49 X47 Z48 X52:Z52 X50 Z50 X61:Z61 X53 Z54 X64:Z64 X62 Z62 X65 Y139:AA139 Z141 Y140:Z140 AB142 AB141 AD141:AE141 AD142 AB143:AE143 H41:H52 Z46 H54:H66" evalError="1" 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576BF97DBCB9914B9158A56019E15D08" ma:contentTypeVersion="4" ma:contentTypeDescription="Create a new document." ma:contentTypeScope="" ma:versionID="5af65204cd19e5f95eb4c2a95f0a8f18">
  <xsd:schema xmlns:xsd="http://www.w3.org/2001/XMLSchema" xmlns:xs="http://www.w3.org/2001/XMLSchema" xmlns:p="http://schemas.microsoft.com/office/2006/metadata/properties" xmlns:ns2="d4cc6d02-e547-4b8a-aa32-f1de7cf580b4" xmlns:ns3="a3d310ad-ff41-4ac4-b61e-e7dd1401a4ef" targetNamespace="http://schemas.microsoft.com/office/2006/metadata/properties" ma:root="true" ma:fieldsID="0139f53b7f716c2c3354aae1aa90630b" ns2:_="" ns3:_="">
    <xsd:import namespace="d4cc6d02-e547-4b8a-aa32-f1de7cf580b4"/>
    <xsd:import namespace="a3d310ad-ff41-4ac4-b61e-e7dd1401a4ef"/>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4cc6d02-e547-4b8a-aa32-f1de7cf580b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3d310ad-ff41-4ac4-b61e-e7dd1401a4ef"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C344C4F-8FEB-4535-85AE-E7792A134DF5}">
  <ds:schemaRefs>
    <ds:schemaRef ds:uri="http://schemas.microsoft.com/office/infopath/2007/PartnerControls"/>
    <ds:schemaRef ds:uri="http://purl.org/dc/dcmitype/"/>
    <ds:schemaRef ds:uri="http://www.w3.org/XML/1998/namespace"/>
    <ds:schemaRef ds:uri="http://schemas.openxmlformats.org/package/2006/metadata/core-properties"/>
    <ds:schemaRef ds:uri="http://purl.org/dc/elements/1.1/"/>
    <ds:schemaRef ds:uri="http://schemas.microsoft.com/office/2006/documentManagement/types"/>
    <ds:schemaRef ds:uri="a3d310ad-ff41-4ac4-b61e-e7dd1401a4ef"/>
    <ds:schemaRef ds:uri="d4cc6d02-e547-4b8a-aa32-f1de7cf580b4"/>
    <ds:schemaRef ds:uri="http://schemas.microsoft.com/office/2006/metadata/properties"/>
    <ds:schemaRef ds:uri="http://purl.org/dc/terms/"/>
  </ds:schemaRefs>
</ds:datastoreItem>
</file>

<file path=customXml/itemProps2.xml><?xml version="1.0" encoding="utf-8"?>
<ds:datastoreItem xmlns:ds="http://schemas.openxmlformats.org/officeDocument/2006/customXml" ds:itemID="{5C7C3C21-22A6-470E-8C36-63D74B25AB1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4cc6d02-e547-4b8a-aa32-f1de7cf580b4"/>
    <ds:schemaRef ds:uri="a3d310ad-ff41-4ac4-b61e-e7dd1401a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84E392D-92C0-4886-80C5-6F6472FD292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2</vt:i4>
      </vt:variant>
      <vt:variant>
        <vt:lpstr>Navngitte områder</vt:lpstr>
      </vt:variant>
      <vt:variant>
        <vt:i4>4</vt:i4>
      </vt:variant>
    </vt:vector>
  </HeadingPairs>
  <TitlesOfParts>
    <vt:vector size="6" baseType="lpstr">
      <vt:lpstr>APM definisjoner</vt:lpstr>
      <vt:lpstr>APM utregning</vt:lpstr>
      <vt:lpstr>'APM definisjoner'!Utskriftsområde</vt:lpstr>
      <vt:lpstr>'APM utregning'!Utskriftsområde</vt:lpstr>
      <vt:lpstr>'APM definisjoner'!Utskriftstitler</vt:lpstr>
      <vt:lpstr>'APM utregning'!Utskriftstitler</vt:lpstr>
    </vt:vector>
  </TitlesOfParts>
  <Manager/>
  <Company>SpareBank1 Alliansen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Cathrine Aunvik</dc:creator>
  <cp:keywords/>
  <dc:description/>
  <cp:lastModifiedBy>Elisabeth Faugstad</cp:lastModifiedBy>
  <cp:revision/>
  <cp:lastPrinted>2022-10-22T14:50:00Z</cp:lastPrinted>
  <dcterms:created xsi:type="dcterms:W3CDTF">2017-08-15T12:23:16Z</dcterms:created>
  <dcterms:modified xsi:type="dcterms:W3CDTF">2023-02-07T16:14:56Z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0x010100576BF97DBCB9914B9158A56019E15D08</vt:lpwstr>
  </property>
  <property fmtid="{D5CDD505-2E9C-101B-9397-08002B2CF9AE}" pid="3" name="MSIP_Label_98335434-1b48-487a-a24a-a853eb7bd7b5_Enabled">
    <vt:lpwstr>true</vt:lpwstr>
  </property>
  <property fmtid="{D5CDD505-2E9C-101B-9397-08002B2CF9AE}" pid="4" name="MSIP_Label_98335434-1b48-487a-a24a-a853eb7bd7b5_SetDate">
    <vt:lpwstr>2021-06-07T12:36:41Z</vt:lpwstr>
  </property>
  <property fmtid="{D5CDD505-2E9C-101B-9397-08002B2CF9AE}" pid="5" name="MSIP_Label_98335434-1b48-487a-a24a-a853eb7bd7b5_Method">
    <vt:lpwstr>Privileged</vt:lpwstr>
  </property>
  <property fmtid="{D5CDD505-2E9C-101B-9397-08002B2CF9AE}" pid="6" name="MSIP_Label_98335434-1b48-487a-a24a-a853eb7bd7b5_Name">
    <vt:lpwstr>98335434-1b48-487a-a24a-a853eb7bd7b5</vt:lpwstr>
  </property>
  <property fmtid="{D5CDD505-2E9C-101B-9397-08002B2CF9AE}" pid="7" name="MSIP_Label_98335434-1b48-487a-a24a-a853eb7bd7b5_SiteId">
    <vt:lpwstr>aa041025-ad66-491f-b117-929458960abd</vt:lpwstr>
  </property>
  <property fmtid="{D5CDD505-2E9C-101B-9397-08002B2CF9AE}" pid="8" name="MSIP_Label_98335434-1b48-487a-a24a-a853eb7bd7b5_ActionId">
    <vt:lpwstr>394ac742-6b79-449d-ac30-43f5dedbd00b</vt:lpwstr>
  </property>
  <property fmtid="{D5CDD505-2E9C-101B-9397-08002B2CF9AE}" pid="9" name="MSIP_Label_98335434-1b48-487a-a24a-a853eb7bd7b5_ContentBits">
    <vt:lpwstr>0</vt:lpwstr>
  </property>
</Properties>
</file>