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arebank1.sharepoint.com/teams/msteams_cad613_601895/Delte dokumenter/Kvartalsrapportering/2024/Q3/"/>
    </mc:Choice>
  </mc:AlternateContent>
  <xr:revisionPtr revIDLastSave="0" documentId="8_{EBED0BBB-95AB-414A-89DB-CA8C52BE57BB}" xr6:coauthVersionLast="47" xr6:coauthVersionMax="47" xr10:uidLastSave="{00000000-0000-0000-0000-000000000000}"/>
  <bookViews>
    <workbookView xWindow="38280" yWindow="1080" windowWidth="29040" windowHeight="15840" xr2:uid="{DF67D745-1102-48FE-A93D-BED66ED880AA}"/>
  </bookViews>
  <sheets>
    <sheet name="APM" sheetId="1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1__123Graph_ADIAGRAM_10" hidden="1">#REF!</definedName>
    <definedName name="_10__123Graph_BDIAGRAM_9" hidden="1">#REF!</definedName>
    <definedName name="_11__123Graph_CDIAGRAM_10" hidden="1">#REF!</definedName>
    <definedName name="_12__123Graph_CDIAGRAM_11" hidden="1">#REF!</definedName>
    <definedName name="_123" hidden="1">#REF!</definedName>
    <definedName name="_13__123Graph_CDIAGRAM_5" hidden="1">#REF!</definedName>
    <definedName name="_14__123Graph_CDIAGRAM_8" hidden="1">#REF!</definedName>
    <definedName name="_15__123Graph_CDIAGRAM_9" hidden="1">#REF!</definedName>
    <definedName name="_16__123Graph_XDIAGRAM_11" hidden="1">#REF!</definedName>
    <definedName name="_17__123Graph_XDIAGRAM_8" hidden="1">#REF!</definedName>
    <definedName name="_18__123Graph_XDIAGRAM_9" hidden="1">#REF!</definedName>
    <definedName name="_2__123Graph_ADIAGRAM_11" hidden="1">#REF!</definedName>
    <definedName name="_3__123Graph_ADIAGRAM_5" hidden="1">#REF!</definedName>
    <definedName name="_4__123Graph_ADIAGRAM_8" hidden="1">#REF!</definedName>
    <definedName name="_5__123Graph_ADIAGRAM_9" hidden="1">#REF!</definedName>
    <definedName name="_6__123Graph_BDIAGRAM_10" hidden="1">#REF!</definedName>
    <definedName name="_7__123Graph_BDIAGRAM_11" hidden="1">#REF!</definedName>
    <definedName name="_8__123Graph_BDIAGRAM_5" hidden="1">#REF!</definedName>
    <definedName name="_9__123Graph_BDIAGRAM_8" hidden="1">#REF!</definedName>
    <definedName name="_AMO_XmlVersion" hidden="1">"'1'"</definedName>
    <definedName name="_Fill" hidden="1">#REF!</definedName>
    <definedName name="_Key1" hidden="1">#REF!</definedName>
    <definedName name="_Order1" hidden="1">0</definedName>
    <definedName name="_Order2" hidden="1">0</definedName>
    <definedName name="_Sort" hidden="1">#REF!</definedName>
    <definedName name="a09978251860849cbb2adc3ca2d653fdb" hidden="1">#REF!</definedName>
    <definedName name="a1d6478a3358b4ada9ef3d7a1dd1a3e90" hidden="1">#REF!</definedName>
    <definedName name="a21b5b52847044604a75b8d0683acff0b" hidden="1">#REF!</definedName>
    <definedName name="abb1e7357a8f842e8a67274c425abaa5e" hidden="1">#REF!</definedName>
    <definedName name="AS2DocOpenMode" hidden="1">"AS2DocumentEdit"</definedName>
    <definedName name="asdf" hidden="1">#REF!</definedName>
    <definedName name="Driftskostnader_før_tap_på_utlån_hittil_i_år">#REF!</definedName>
    <definedName name="Driftskostnader_før_utlånstap_hittil_ifjor">#REF!</definedName>
    <definedName name="Driftskostnader_i_prosent_av_inntekter_hittil_i_år">#REF!</definedName>
    <definedName name="Driftskostnader_i_prosent_av_inntekter_hittil_ifjor">#REF!</definedName>
    <definedName name="Driftskostnader_kvartal_i_år">#REF!</definedName>
    <definedName name="Egenkapitalavkastning__eks._hybridkapital_hittil_i_år">#REF!</definedName>
    <definedName name="EK_avkastning_hittil_iår_eks._hybridkapital">#REF!</definedName>
    <definedName name="f" hidden="1">#REF!</definedName>
    <definedName name="Feil" hidden="1">#REF!</definedName>
    <definedName name="ff" hidden="1">#REF!</definedName>
    <definedName name="Fjorårets_netto_rente_og_kredittprovisjonsinntekter">#REF!</definedName>
    <definedName name="gg" hidden="1">#REF!</definedName>
    <definedName name="ggg" hidden="1">#REF!</definedName>
    <definedName name="HiK">CUBEMEMBER(Tilkobling,"[Measures].[Beløp HiK (0)]")</definedName>
    <definedName name="HiÅ">CUBEMEMBER(Tilkobling,"[Measures].[Beløp HiÅ (0)]")</definedName>
    <definedName name="k" hidden="1">#REF!</definedName>
    <definedName name="Kapital" hidden="1">#REF!</definedName>
    <definedName name="Kapital1" hidden="1">#REF!</definedName>
    <definedName name="Måned">#REF!</definedName>
    <definedName name="N15arb" hidden="1">#REF!</definedName>
    <definedName name="Nedskrivninger_på_utlån_i_fjor">#REF!</definedName>
    <definedName name="Nedskrivninger_på_utlån_i_år">#REF!</definedName>
    <definedName name="Netto_Provisjonsinntekter_forrige_kvartal">#REF!</definedName>
    <definedName name="Netto_provisjonsinntekter_hittil_i_år">#REF!</definedName>
    <definedName name="Netto_provisjonsinntekter_ifjor">#REF!</definedName>
    <definedName name="Netto_provisjonsinntekter_kvartal">#REF!</definedName>
    <definedName name="Periode">#REF!</definedName>
    <definedName name="Provisjons_Spabol_i_år">#REF!</definedName>
    <definedName name="qw" hidden="1">#REF!</definedName>
    <definedName name="Resultat_før_skatt_i_fjor">#REF!</definedName>
    <definedName name="Resultat_før_skatt_år">#REF!</definedName>
    <definedName name="Resultat_i_prosent_av_gjennomsnittlig_forvaltningskapital">#REF!</definedName>
    <definedName name="Resultat_og_balanseutvikling_2">#REF!</definedName>
    <definedName name="SheetState" hidden="1">"'2:-1:-1:-1:-1:-1:-1:-1:-1:-1:-1:-1:-1:-1"</definedName>
    <definedName name="SS">"SS"</definedName>
    <definedName name="Sted1">#REF!</definedName>
    <definedName name="Tilkobling">#REF!</definedName>
    <definedName name="YTD">"YTD"</definedName>
    <definedName name="Årets_netto_rente_og_kredittprovisjonsinntekt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J98" i="1"/>
  <c r="J97" i="1"/>
  <c r="J99" i="1" s="1"/>
  <c r="K94" i="1"/>
  <c r="I94" i="1"/>
  <c r="AF93" i="1"/>
  <c r="AF94" i="1" s="1"/>
  <c r="AC93" i="1"/>
  <c r="M93" i="1"/>
  <c r="K93" i="1"/>
  <c r="I93" i="1"/>
  <c r="G93" i="1"/>
  <c r="F93" i="1"/>
  <c r="Y92" i="1"/>
  <c r="X92" i="1"/>
  <c r="W92" i="1"/>
  <c r="V92" i="1"/>
  <c r="U92" i="1"/>
  <c r="T92" i="1"/>
  <c r="S92" i="1"/>
  <c r="Q92" i="1"/>
  <c r="P92" i="1"/>
  <c r="O92" i="1"/>
  <c r="N92" i="1"/>
  <c r="M92" i="1"/>
  <c r="L92" i="1"/>
  <c r="G92" i="1"/>
  <c r="F92" i="1" s="1"/>
  <c r="AF91" i="1"/>
  <c r="AB91" i="1"/>
  <c r="AA91" i="1"/>
  <c r="Y91" i="1"/>
  <c r="V91" i="1"/>
  <c r="T91" i="1"/>
  <c r="S91" i="1"/>
  <c r="Q91" i="1"/>
  <c r="N91" i="1"/>
  <c r="L91" i="1"/>
  <c r="G91" i="1"/>
  <c r="G94" i="1" s="1"/>
  <c r="F91" i="1"/>
  <c r="C91" i="1"/>
  <c r="AC89" i="1"/>
  <c r="W89" i="1"/>
  <c r="U89" i="1"/>
  <c r="M89" i="1"/>
  <c r="H89" i="1"/>
  <c r="G89" i="1"/>
  <c r="F89" i="1"/>
  <c r="AE88" i="1"/>
  <c r="AC88" i="1"/>
  <c r="AB88" i="1"/>
  <c r="AA88" i="1"/>
  <c r="Z88" i="1"/>
  <c r="Y88" i="1"/>
  <c r="W88" i="1"/>
  <c r="U88" i="1"/>
  <c r="T88" i="1"/>
  <c r="S88" i="1"/>
  <c r="Q88" i="1"/>
  <c r="O88" i="1"/>
  <c r="M88" i="1"/>
  <c r="L88" i="1"/>
  <c r="K88" i="1"/>
  <c r="K89" i="1" s="1"/>
  <c r="J88" i="1"/>
  <c r="J89" i="1" s="1"/>
  <c r="I88" i="1"/>
  <c r="I89" i="1" s="1"/>
  <c r="G88" i="1"/>
  <c r="F88" i="1"/>
  <c r="AE87" i="1"/>
  <c r="AE89" i="1" s="1"/>
  <c r="AC87" i="1"/>
  <c r="AC91" i="1" s="1"/>
  <c r="AC94" i="1" s="1"/>
  <c r="AB87" i="1"/>
  <c r="AA87" i="1"/>
  <c r="AA89" i="1" s="1"/>
  <c r="Z87" i="1"/>
  <c r="Z91" i="1" s="1"/>
  <c r="Y87" i="1"/>
  <c r="Y89" i="1" s="1"/>
  <c r="X87" i="1"/>
  <c r="X91" i="1" s="1"/>
  <c r="W87" i="1"/>
  <c r="W91" i="1" s="1"/>
  <c r="V87" i="1"/>
  <c r="U87" i="1"/>
  <c r="U91" i="1" s="1"/>
  <c r="T87" i="1"/>
  <c r="S87" i="1"/>
  <c r="S89" i="1" s="1"/>
  <c r="R87" i="1"/>
  <c r="R91" i="1" s="1"/>
  <c r="Q87" i="1"/>
  <c r="Q89" i="1" s="1"/>
  <c r="P87" i="1"/>
  <c r="P91" i="1" s="1"/>
  <c r="O87" i="1"/>
  <c r="O91" i="1" s="1"/>
  <c r="N87" i="1"/>
  <c r="M87" i="1"/>
  <c r="M91" i="1" s="1"/>
  <c r="M94" i="1" s="1"/>
  <c r="L87" i="1"/>
  <c r="L89" i="1" s="1"/>
  <c r="AF85" i="1"/>
  <c r="AB85" i="1"/>
  <c r="AB93" i="1" s="1"/>
  <c r="L85" i="1"/>
  <c r="L93" i="1" s="1"/>
  <c r="J85" i="1"/>
  <c r="J93" i="1" s="1"/>
  <c r="J94" i="1" s="1"/>
  <c r="H85" i="1"/>
  <c r="H93" i="1" s="1"/>
  <c r="H94" i="1" s="1"/>
  <c r="F85" i="1"/>
  <c r="AF84" i="1"/>
  <c r="AE93" i="1" s="1"/>
  <c r="AD84" i="1"/>
  <c r="AD85" i="1" s="1"/>
  <c r="AD93" i="1" s="1"/>
  <c r="AB84" i="1"/>
  <c r="Z84" i="1"/>
  <c r="X84" i="1"/>
  <c r="V84" i="1"/>
  <c r="T84" i="1"/>
  <c r="R84" i="1"/>
  <c r="S93" i="1" s="1"/>
  <c r="S94" i="1" s="1"/>
  <c r="P84" i="1"/>
  <c r="O93" i="1" s="1"/>
  <c r="N84" i="1"/>
  <c r="N85" i="1" s="1"/>
  <c r="N93" i="1" s="1"/>
  <c r="L84" i="1"/>
  <c r="AF81" i="1"/>
  <c r="AF88" i="1" s="1"/>
  <c r="AF89" i="1" s="1"/>
  <c r="AD81" i="1"/>
  <c r="AD88" i="1" s="1"/>
  <c r="AB81" i="1"/>
  <c r="Z81" i="1"/>
  <c r="X81" i="1"/>
  <c r="X88" i="1" s="1"/>
  <c r="V81" i="1"/>
  <c r="V88" i="1" s="1"/>
  <c r="T81" i="1"/>
  <c r="R81" i="1"/>
  <c r="R88" i="1" s="1"/>
  <c r="P81" i="1"/>
  <c r="P88" i="1" s="1"/>
  <c r="N81" i="1"/>
  <c r="N88" i="1" s="1"/>
  <c r="L81" i="1"/>
  <c r="J81" i="1"/>
  <c r="H81" i="1"/>
  <c r="F81" i="1"/>
  <c r="AE77" i="1"/>
  <c r="J77" i="1"/>
  <c r="AF76" i="1"/>
  <c r="AE76" i="1"/>
  <c r="AD76" i="1"/>
  <c r="AC76" i="1"/>
  <c r="AB76" i="1"/>
  <c r="AB77" i="1" s="1"/>
  <c r="Z76" i="1"/>
  <c r="X76" i="1"/>
  <c r="V76" i="1"/>
  <c r="U76" i="1"/>
  <c r="T76" i="1"/>
  <c r="R76" i="1"/>
  <c r="Q76" i="1"/>
  <c r="P76" i="1"/>
  <c r="N76" i="1"/>
  <c r="L76" i="1"/>
  <c r="L77" i="1" s="1"/>
  <c r="H76" i="1"/>
  <c r="F76" i="1"/>
  <c r="C76" i="1"/>
  <c r="B76" i="1"/>
  <c r="AF75" i="1"/>
  <c r="AF77" i="1" s="1"/>
  <c r="AE75" i="1"/>
  <c r="AD75" i="1"/>
  <c r="AC75" i="1"/>
  <c r="AB75" i="1"/>
  <c r="AA75" i="1"/>
  <c r="AA77" i="1" s="1"/>
  <c r="Z75" i="1"/>
  <c r="Z77" i="1" s="1"/>
  <c r="Y75" i="1"/>
  <c r="X75" i="1"/>
  <c r="X77" i="1" s="1"/>
  <c r="W75" i="1"/>
  <c r="U75" i="1"/>
  <c r="S75" i="1"/>
  <c r="R75" i="1"/>
  <c r="R77" i="1" s="1"/>
  <c r="Q75" i="1"/>
  <c r="Q77" i="1" s="1"/>
  <c r="P75" i="1"/>
  <c r="P77" i="1" s="1"/>
  <c r="O75" i="1"/>
  <c r="M75" i="1"/>
  <c r="L75" i="1"/>
  <c r="I75" i="1"/>
  <c r="G75" i="1"/>
  <c r="G77" i="1" s="1"/>
  <c r="F75" i="1"/>
  <c r="F77" i="1" s="1"/>
  <c r="V74" i="1"/>
  <c r="V75" i="1" s="1"/>
  <c r="V77" i="1" s="1"/>
  <c r="T74" i="1"/>
  <c r="T75" i="1" s="1"/>
  <c r="R74" i="1"/>
  <c r="N74" i="1"/>
  <c r="N75" i="1" s="1"/>
  <c r="N77" i="1" s="1"/>
  <c r="H74" i="1"/>
  <c r="H75" i="1" s="1"/>
  <c r="H77" i="1" s="1"/>
  <c r="F74" i="1"/>
  <c r="C75" i="1"/>
  <c r="B75" i="1"/>
  <c r="B77" i="1" s="1"/>
  <c r="AF71" i="1"/>
  <c r="AB71" i="1"/>
  <c r="K71" i="1"/>
  <c r="AF70" i="1"/>
  <c r="AD70" i="1"/>
  <c r="AB70" i="1"/>
  <c r="Z70" i="1"/>
  <c r="U70" i="1"/>
  <c r="R70" i="1"/>
  <c r="K70" i="1"/>
  <c r="J70" i="1"/>
  <c r="H70" i="1"/>
  <c r="C70" i="1"/>
  <c r="AF69" i="1"/>
  <c r="AE69" i="1"/>
  <c r="AD69" i="1"/>
  <c r="AD71" i="1" s="1"/>
  <c r="AB69" i="1"/>
  <c r="Z69" i="1"/>
  <c r="U69" i="1"/>
  <c r="U71" i="1" s="1"/>
  <c r="R69" i="1"/>
  <c r="N69" i="1"/>
  <c r="N71" i="1" s="1"/>
  <c r="K69" i="1"/>
  <c r="J69" i="1"/>
  <c r="J71" i="1" s="1"/>
  <c r="F69" i="1"/>
  <c r="F71" i="1" s="1"/>
  <c r="AE68" i="1"/>
  <c r="AE70" i="1" s="1"/>
  <c r="AC68" i="1"/>
  <c r="AC70" i="1" s="1"/>
  <c r="X68" i="1"/>
  <c r="X69" i="1" s="1"/>
  <c r="V68" i="1"/>
  <c r="V70" i="1" s="1"/>
  <c r="U68" i="1"/>
  <c r="T68" i="1"/>
  <c r="T69" i="1" s="1"/>
  <c r="S68" i="1"/>
  <c r="S70" i="1" s="1"/>
  <c r="R68" i="1"/>
  <c r="P68" i="1"/>
  <c r="P69" i="1" s="1"/>
  <c r="N68" i="1"/>
  <c r="N70" i="1" s="1"/>
  <c r="L68" i="1"/>
  <c r="L69" i="1" s="1"/>
  <c r="I68" i="1"/>
  <c r="I70" i="1" s="1"/>
  <c r="H68" i="1"/>
  <c r="H69" i="1" s="1"/>
  <c r="H71" i="1" s="1"/>
  <c r="F68" i="1"/>
  <c r="F70" i="1" s="1"/>
  <c r="C68" i="1"/>
  <c r="B68" i="1"/>
  <c r="AC67" i="1"/>
  <c r="AA68" i="1" s="1"/>
  <c r="AA70" i="1" s="1"/>
  <c r="AA67" i="1"/>
  <c r="AA76" i="1" s="1"/>
  <c r="Y67" i="1"/>
  <c r="W68" i="1" s="1"/>
  <c r="W67" i="1"/>
  <c r="U67" i="1"/>
  <c r="S67" i="1"/>
  <c r="Q67" i="1"/>
  <c r="O68" i="1" s="1"/>
  <c r="O67" i="1"/>
  <c r="M76" i="1" s="1"/>
  <c r="M67" i="1"/>
  <c r="K76" i="1" s="1"/>
  <c r="K77" i="1" s="1"/>
  <c r="I67" i="1"/>
  <c r="G67" i="1"/>
  <c r="G76" i="1" s="1"/>
  <c r="C67" i="1"/>
  <c r="C69" i="1" s="1"/>
  <c r="C71" i="1" s="1"/>
  <c r="H64" i="1"/>
  <c r="Z62" i="1"/>
  <c r="Z64" i="1" s="1"/>
  <c r="Y62" i="1"/>
  <c r="Y64" i="1" s="1"/>
  <c r="P62" i="1"/>
  <c r="P64" i="1" s="1"/>
  <c r="L62" i="1"/>
  <c r="L64" i="1" s="1"/>
  <c r="I62" i="1"/>
  <c r="I64" i="1" s="1"/>
  <c r="F62" i="1"/>
  <c r="F64" i="1" s="1"/>
  <c r="AC61" i="1"/>
  <c r="AA61" i="1"/>
  <c r="AA62" i="1" s="1"/>
  <c r="AA64" i="1" s="1"/>
  <c r="W61" i="1"/>
  <c r="R61" i="1"/>
  <c r="R62" i="1" s="1"/>
  <c r="R64" i="1" s="1"/>
  <c r="P61" i="1"/>
  <c r="O61" i="1"/>
  <c r="N61" i="1"/>
  <c r="N62" i="1" s="1"/>
  <c r="N64" i="1" s="1"/>
  <c r="L61" i="1"/>
  <c r="K61" i="1"/>
  <c r="K64" i="1" s="1"/>
  <c r="J61" i="1"/>
  <c r="J64" i="1" s="1"/>
  <c r="I61" i="1"/>
  <c r="H61" i="1"/>
  <c r="H62" i="1" s="1"/>
  <c r="G61" i="1"/>
  <c r="F61" i="1"/>
  <c r="C61" i="1"/>
  <c r="B61" i="1"/>
  <c r="AF60" i="1"/>
  <c r="AF62" i="1" s="1"/>
  <c r="AF64" i="1" s="1"/>
  <c r="AD60" i="1"/>
  <c r="AB60" i="1"/>
  <c r="AC60" i="1" s="1"/>
  <c r="AC62" i="1" s="1"/>
  <c r="AC64" i="1" s="1"/>
  <c r="AA60" i="1"/>
  <c r="Y61" i="1" s="1"/>
  <c r="Z60" i="1"/>
  <c r="Y60" i="1"/>
  <c r="W60" i="1"/>
  <c r="U60" i="1"/>
  <c r="S60" i="1"/>
  <c r="Q61" i="1" s="1"/>
  <c r="Q62" i="1" s="1"/>
  <c r="Q64" i="1" s="1"/>
  <c r="Q60" i="1"/>
  <c r="O60" i="1"/>
  <c r="M60" i="1"/>
  <c r="K60" i="1"/>
  <c r="I60" i="1"/>
  <c r="G60" i="1"/>
  <c r="G62" i="1" s="1"/>
  <c r="G64" i="1" s="1"/>
  <c r="B62" i="1"/>
  <c r="B64" i="1" s="1"/>
  <c r="AB57" i="1"/>
  <c r="N57" i="1"/>
  <c r="L57" i="1"/>
  <c r="AF56" i="1"/>
  <c r="AF57" i="1" s="1"/>
  <c r="AD56" i="1"/>
  <c r="AD57" i="1" s="1"/>
  <c r="AB56" i="1"/>
  <c r="Z56" i="1"/>
  <c r="Z57" i="1" s="1"/>
  <c r="X56" i="1"/>
  <c r="V56" i="1"/>
  <c r="T56" i="1"/>
  <c r="R56" i="1"/>
  <c r="P56" i="1"/>
  <c r="N56" i="1"/>
  <c r="L56" i="1"/>
  <c r="H56" i="1"/>
  <c r="F56" i="1"/>
  <c r="B56" i="1"/>
  <c r="X55" i="1"/>
  <c r="X57" i="1" s="1"/>
  <c r="V55" i="1"/>
  <c r="V57" i="1" s="1"/>
  <c r="T55" i="1"/>
  <c r="T57" i="1" s="1"/>
  <c r="R55" i="1"/>
  <c r="R57" i="1" s="1"/>
  <c r="P55" i="1"/>
  <c r="N55" i="1"/>
  <c r="L55" i="1"/>
  <c r="H55" i="1"/>
  <c r="H57" i="1" s="1"/>
  <c r="F55" i="1"/>
  <c r="F57" i="1" s="1"/>
  <c r="AF52" i="1"/>
  <c r="AE52" i="1"/>
  <c r="X52" i="1"/>
  <c r="W52" i="1"/>
  <c r="U52" i="1"/>
  <c r="Q52" i="1"/>
  <c r="P52" i="1"/>
  <c r="O52" i="1"/>
  <c r="M52" i="1"/>
  <c r="L52" i="1"/>
  <c r="K52" i="1"/>
  <c r="J52" i="1"/>
  <c r="I52" i="1"/>
  <c r="H52" i="1"/>
  <c r="G52" i="1"/>
  <c r="AF51" i="1"/>
  <c r="AE51" i="1"/>
  <c r="AD51" i="1"/>
  <c r="AC51" i="1"/>
  <c r="AC52" i="1" s="1"/>
  <c r="AB51" i="1"/>
  <c r="AA51" i="1"/>
  <c r="AA52" i="1" s="1"/>
  <c r="Y51" i="1"/>
  <c r="Y52" i="1" s="1"/>
  <c r="X51" i="1"/>
  <c r="W51" i="1"/>
  <c r="V51" i="1"/>
  <c r="V52" i="1" s="1"/>
  <c r="U51" i="1"/>
  <c r="R51" i="1" s="1"/>
  <c r="T51" i="1"/>
  <c r="S51" i="1"/>
  <c r="S52" i="1" s="1"/>
  <c r="O51" i="1"/>
  <c r="N51" i="1" s="1"/>
  <c r="M51" i="1"/>
  <c r="L51" i="1"/>
  <c r="F51" i="1"/>
  <c r="B51" i="1"/>
  <c r="AD50" i="1"/>
  <c r="AB50" i="1"/>
  <c r="AB52" i="1" s="1"/>
  <c r="Z50" i="1"/>
  <c r="V50" i="1"/>
  <c r="T50" i="1"/>
  <c r="T52" i="1" s="1"/>
  <c r="R50" i="1"/>
  <c r="N50" i="1"/>
  <c r="N52" i="1" s="1"/>
  <c r="L50" i="1"/>
  <c r="F50" i="1"/>
  <c r="B50" i="1"/>
  <c r="B52" i="1" s="1"/>
  <c r="J46" i="1"/>
  <c r="J47" i="1" s="1"/>
  <c r="AF45" i="1"/>
  <c r="AD45" i="1"/>
  <c r="AB45" i="1"/>
  <c r="Z45" i="1"/>
  <c r="X45" i="1"/>
  <c r="V45" i="1"/>
  <c r="T45" i="1"/>
  <c r="R45" i="1"/>
  <c r="P45" i="1"/>
  <c r="N45" i="1"/>
  <c r="L45" i="1"/>
  <c r="F45" i="1"/>
  <c r="B45" i="1"/>
  <c r="B47" i="1" s="1"/>
  <c r="J41" i="1"/>
  <c r="J42" i="1" s="1"/>
  <c r="AE40" i="1"/>
  <c r="AC40" i="1"/>
  <c r="AA40" i="1"/>
  <c r="Y40" i="1"/>
  <c r="W40" i="1"/>
  <c r="U40" i="1"/>
  <c r="S40" i="1"/>
  <c r="Q40" i="1"/>
  <c r="O40" i="1"/>
  <c r="M40" i="1"/>
  <c r="K40" i="1"/>
  <c r="H40" i="1"/>
  <c r="I40" i="1" s="1"/>
  <c r="G40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K41" i="1" s="1"/>
  <c r="J37" i="1"/>
  <c r="I37" i="1"/>
  <c r="H37" i="1"/>
  <c r="G37" i="1"/>
  <c r="F37" i="1"/>
  <c r="C37" i="1"/>
  <c r="B37" i="1"/>
  <c r="X36" i="1"/>
  <c r="X38" i="1" s="1"/>
  <c r="M36" i="1"/>
  <c r="M38" i="1" s="1"/>
  <c r="K36" i="1"/>
  <c r="J36" i="1"/>
  <c r="H33" i="1"/>
  <c r="H46" i="1" s="1"/>
  <c r="H47" i="1" s="1"/>
  <c r="AF32" i="1"/>
  <c r="X32" i="1"/>
  <c r="T32" i="1"/>
  <c r="P32" i="1"/>
  <c r="N32" i="1"/>
  <c r="H32" i="1"/>
  <c r="F32" i="1"/>
  <c r="B32" i="1"/>
  <c r="L31" i="1"/>
  <c r="L33" i="1" s="1"/>
  <c r="L46" i="1" s="1"/>
  <c r="L47" i="1" s="1"/>
  <c r="H31" i="1"/>
  <c r="AF30" i="1"/>
  <c r="AD30" i="1"/>
  <c r="AB30" i="1"/>
  <c r="X30" i="1"/>
  <c r="V30" i="1"/>
  <c r="T30" i="1"/>
  <c r="R30" i="1"/>
  <c r="P30" i="1"/>
  <c r="N30" i="1"/>
  <c r="L30" i="1"/>
  <c r="AF29" i="1"/>
  <c r="AD29" i="1"/>
  <c r="AB29" i="1"/>
  <c r="X29" i="1"/>
  <c r="V29" i="1"/>
  <c r="T29" i="1"/>
  <c r="R29" i="1"/>
  <c r="P29" i="1"/>
  <c r="N29" i="1"/>
  <c r="L29" i="1"/>
  <c r="R25" i="1"/>
  <c r="R31" i="1" s="1"/>
  <c r="R33" i="1" s="1"/>
  <c r="R46" i="1" s="1"/>
  <c r="R47" i="1" s="1"/>
  <c r="P25" i="1"/>
  <c r="P31" i="1" s="1"/>
  <c r="P33" i="1" s="1"/>
  <c r="P46" i="1" s="1"/>
  <c r="L25" i="1"/>
  <c r="AE23" i="1"/>
  <c r="AD23" i="1"/>
  <c r="AD32" i="1" s="1"/>
  <c r="AC23" i="1"/>
  <c r="AB23" i="1"/>
  <c r="AB32" i="1" s="1"/>
  <c r="AA23" i="1"/>
  <c r="Z23" i="1"/>
  <c r="Z32" i="1" s="1"/>
  <c r="Y23" i="1"/>
  <c r="X23" i="1"/>
  <c r="W23" i="1"/>
  <c r="V23" i="1"/>
  <c r="V32" i="1" s="1"/>
  <c r="U23" i="1"/>
  <c r="T23" i="1"/>
  <c r="S23" i="1"/>
  <c r="R23" i="1"/>
  <c r="R32" i="1" s="1"/>
  <c r="Q23" i="1"/>
  <c r="P23" i="1"/>
  <c r="O23" i="1"/>
  <c r="N23" i="1"/>
  <c r="M23" i="1"/>
  <c r="L23" i="1"/>
  <c r="L32" i="1" s="1"/>
  <c r="G23" i="1"/>
  <c r="F23" i="1"/>
  <c r="C23" i="1"/>
  <c r="B23" i="1"/>
  <c r="AA19" i="1"/>
  <c r="Z19" i="1" s="1"/>
  <c r="K16" i="1"/>
  <c r="J16" i="1"/>
  <c r="AF15" i="1"/>
  <c r="G14" i="1"/>
  <c r="G41" i="1" s="1"/>
  <c r="G42" i="1" s="1"/>
  <c r="AF12" i="1"/>
  <c r="AA12" i="1"/>
  <c r="AA15" i="1" s="1"/>
  <c r="I12" i="1"/>
  <c r="I15" i="1" s="1"/>
  <c r="AF10" i="1"/>
  <c r="AF25" i="1" s="1"/>
  <c r="AF31" i="1" s="1"/>
  <c r="AF33" i="1" s="1"/>
  <c r="AF46" i="1" s="1"/>
  <c r="AE10" i="1"/>
  <c r="AE12" i="1" s="1"/>
  <c r="AE15" i="1" s="1"/>
  <c r="AD10" i="1"/>
  <c r="AD25" i="1" s="1"/>
  <c r="AD31" i="1" s="1"/>
  <c r="AC10" i="1"/>
  <c r="AA10" i="1"/>
  <c r="X10" i="1"/>
  <c r="X25" i="1" s="1"/>
  <c r="V10" i="1"/>
  <c r="V25" i="1" s="1"/>
  <c r="V31" i="1" s="1"/>
  <c r="T10" i="1"/>
  <c r="R12" i="1" s="1"/>
  <c r="R15" i="1" s="1"/>
  <c r="R10" i="1"/>
  <c r="P10" i="1"/>
  <c r="H12" i="1" s="1"/>
  <c r="H15" i="1" s="1"/>
  <c r="O10" i="1"/>
  <c r="N10" i="1"/>
  <c r="N25" i="1" s="1"/>
  <c r="N31" i="1" s="1"/>
  <c r="N33" i="1" s="1"/>
  <c r="N46" i="1" s="1"/>
  <c r="L10" i="1"/>
  <c r="I10" i="1"/>
  <c r="G12" i="1" s="1"/>
  <c r="G15" i="1" s="1"/>
  <c r="H10" i="1"/>
  <c r="G10" i="1"/>
  <c r="F10" i="1"/>
  <c r="F25" i="1" s="1"/>
  <c r="F31" i="1" s="1"/>
  <c r="F33" i="1" s="1"/>
  <c r="F46" i="1" s="1"/>
  <c r="F47" i="1" s="1"/>
  <c r="B10" i="1"/>
  <c r="B25" i="1" s="1"/>
  <c r="B31" i="1" s="1"/>
  <c r="B33" i="1" s="1"/>
  <c r="B46" i="1" s="1"/>
  <c r="AD9" i="1"/>
  <c r="AB9" i="1"/>
  <c r="AB10" i="1" s="1"/>
  <c r="Z9" i="1"/>
  <c r="Z10" i="1" s="1"/>
  <c r="Y9" i="1"/>
  <c r="U9" i="1"/>
  <c r="S9" i="1"/>
  <c r="S10" i="1" s="1"/>
  <c r="Q9" i="1"/>
  <c r="M9" i="1"/>
  <c r="M10" i="1" s="1"/>
  <c r="M12" i="1" s="1"/>
  <c r="M15" i="1" s="1"/>
  <c r="C9" i="1"/>
  <c r="AD8" i="1"/>
  <c r="AB8" i="1"/>
  <c r="Z8" i="1"/>
  <c r="Y8" i="1"/>
  <c r="Y10" i="1" s="1"/>
  <c r="Y12" i="1" s="1"/>
  <c r="Y15" i="1" s="1"/>
  <c r="W8" i="1"/>
  <c r="W10" i="1" s="1"/>
  <c r="W12" i="1" s="1"/>
  <c r="W15" i="1" s="1"/>
  <c r="U8" i="1"/>
  <c r="U10" i="1" s="1"/>
  <c r="U12" i="1" s="1"/>
  <c r="U15" i="1" s="1"/>
  <c r="S8" i="1"/>
  <c r="Q8" i="1"/>
  <c r="Q10" i="1" s="1"/>
  <c r="O8" i="1"/>
  <c r="M8" i="1"/>
  <c r="C8" i="1"/>
  <c r="C10" i="1" s="1"/>
  <c r="C12" i="1" s="1"/>
  <c r="C15" i="1" s="1"/>
  <c r="AF6" i="1"/>
  <c r="AF14" i="1" s="1"/>
  <c r="AE6" i="1"/>
  <c r="AE14" i="1" s="1"/>
  <c r="Y6" i="1"/>
  <c r="Y14" i="1" s="1"/>
  <c r="X6" i="1"/>
  <c r="X14" i="1" s="1"/>
  <c r="W6" i="1"/>
  <c r="W36" i="1" s="1"/>
  <c r="W38" i="1" s="1"/>
  <c r="U6" i="1"/>
  <c r="U14" i="1" s="1"/>
  <c r="U41" i="1" s="1"/>
  <c r="U42" i="1" s="1"/>
  <c r="T6" i="1"/>
  <c r="T14" i="1" s="1"/>
  <c r="T41" i="1" s="1"/>
  <c r="T42" i="1" s="1"/>
  <c r="P6" i="1"/>
  <c r="P14" i="1" s="1"/>
  <c r="M6" i="1"/>
  <c r="M14" i="1" s="1"/>
  <c r="G6" i="1"/>
  <c r="G36" i="1" s="1"/>
  <c r="G38" i="1" s="1"/>
  <c r="F6" i="1"/>
  <c r="AC5" i="1"/>
  <c r="AC6" i="1" s="1"/>
  <c r="AA5" i="1"/>
  <c r="AA6" i="1" s="1"/>
  <c r="Y5" i="1"/>
  <c r="U5" i="1"/>
  <c r="S5" i="1"/>
  <c r="S6" i="1" s="1"/>
  <c r="Q5" i="1"/>
  <c r="Q6" i="1" s="1"/>
  <c r="O5" i="1"/>
  <c r="O6" i="1" s="1"/>
  <c r="M5" i="1"/>
  <c r="I5" i="1"/>
  <c r="I6" i="1" s="1"/>
  <c r="H5" i="1"/>
  <c r="G5" i="1"/>
  <c r="C5" i="1"/>
  <c r="C6" i="1" s="1"/>
  <c r="AD4" i="1"/>
  <c r="AD6" i="1" s="1"/>
  <c r="AB4" i="1"/>
  <c r="AB6" i="1" s="1"/>
  <c r="Z4" i="1"/>
  <c r="Z6" i="1" s="1"/>
  <c r="X4" i="1"/>
  <c r="V4" i="1"/>
  <c r="V6" i="1" s="1"/>
  <c r="T4" i="1"/>
  <c r="R4" i="1"/>
  <c r="R6" i="1" s="1"/>
  <c r="P4" i="1"/>
  <c r="N4" i="1"/>
  <c r="N6" i="1" s="1"/>
  <c r="L4" i="1"/>
  <c r="L6" i="1" s="1"/>
  <c r="H4" i="1"/>
  <c r="H6" i="1" s="1"/>
  <c r="B6" i="1"/>
  <c r="Z36" i="1" l="1"/>
  <c r="Z38" i="1" s="1"/>
  <c r="Z14" i="1"/>
  <c r="S12" i="1"/>
  <c r="S15" i="1" s="1"/>
  <c r="L14" i="1"/>
  <c r="L36" i="1"/>
  <c r="L38" i="1" s="1"/>
  <c r="AB14" i="1"/>
  <c r="AB36" i="1"/>
  <c r="AB38" i="1" s="1"/>
  <c r="Q14" i="1"/>
  <c r="Q36" i="1"/>
  <c r="Q38" i="1" s="1"/>
  <c r="W70" i="1"/>
  <c r="W69" i="1"/>
  <c r="W71" i="1" s="1"/>
  <c r="L71" i="1"/>
  <c r="X71" i="1"/>
  <c r="Y77" i="1"/>
  <c r="B14" i="1"/>
  <c r="B36" i="1"/>
  <c r="B38" i="1" s="1"/>
  <c r="AC14" i="1"/>
  <c r="AC36" i="1"/>
  <c r="AC38" i="1" s="1"/>
  <c r="AE41" i="1"/>
  <c r="AE42" i="1" s="1"/>
  <c r="AE16" i="1"/>
  <c r="N36" i="1"/>
  <c r="N38" i="1" s="1"/>
  <c r="N14" i="1"/>
  <c r="AD36" i="1"/>
  <c r="AD38" i="1" s="1"/>
  <c r="AD14" i="1"/>
  <c r="S36" i="1"/>
  <c r="S38" i="1" s="1"/>
  <c r="S14" i="1"/>
  <c r="H36" i="1"/>
  <c r="H38" i="1" s="1"/>
  <c r="H14" i="1"/>
  <c r="C14" i="1"/>
  <c r="C36" i="1"/>
  <c r="C38" i="1" s="1"/>
  <c r="Z12" i="1"/>
  <c r="Z15" i="1" s="1"/>
  <c r="Z25" i="1"/>
  <c r="V36" i="1"/>
  <c r="V38" i="1" s="1"/>
  <c r="V14" i="1"/>
  <c r="Y41" i="1"/>
  <c r="Y42" i="1" s="1"/>
  <c r="Y16" i="1"/>
  <c r="Z30" i="1"/>
  <c r="Z29" i="1"/>
  <c r="Y19" i="1"/>
  <c r="O14" i="1"/>
  <c r="O36" i="1"/>
  <c r="O38" i="1" s="1"/>
  <c r="R36" i="1"/>
  <c r="R38" i="1" s="1"/>
  <c r="R14" i="1"/>
  <c r="AB25" i="1"/>
  <c r="AB31" i="1" s="1"/>
  <c r="AB33" i="1" s="1"/>
  <c r="AB46" i="1" s="1"/>
  <c r="AB47" i="1" s="1"/>
  <c r="AB12" i="1"/>
  <c r="AB15" i="1" s="1"/>
  <c r="I36" i="1"/>
  <c r="I38" i="1" s="1"/>
  <c r="I14" i="1"/>
  <c r="AA36" i="1"/>
  <c r="AA38" i="1" s="1"/>
  <c r="AA14" i="1"/>
  <c r="Q12" i="1"/>
  <c r="Q15" i="1" s="1"/>
  <c r="O12" i="1"/>
  <c r="O15" i="1" s="1"/>
  <c r="O70" i="1"/>
  <c r="O69" i="1"/>
  <c r="O71" i="1" s="1"/>
  <c r="F36" i="1"/>
  <c r="F38" i="1" s="1"/>
  <c r="F14" i="1"/>
  <c r="L12" i="1"/>
  <c r="L15" i="1" s="1"/>
  <c r="Y36" i="1"/>
  <c r="Y38" i="1" s="1"/>
  <c r="N47" i="1"/>
  <c r="AD47" i="1"/>
  <c r="R52" i="1"/>
  <c r="C60" i="1"/>
  <c r="C62" i="1" s="1"/>
  <c r="C64" i="1" s="1"/>
  <c r="X61" i="1"/>
  <c r="X62" i="1" s="1"/>
  <c r="X64" i="1" s="1"/>
  <c r="W76" i="1"/>
  <c r="W77" i="1" s="1"/>
  <c r="G69" i="1"/>
  <c r="G71" i="1" s="1"/>
  <c r="V69" i="1"/>
  <c r="V71" i="1" s="1"/>
  <c r="B89" i="1"/>
  <c r="R94" i="1"/>
  <c r="AF16" i="1"/>
  <c r="AF41" i="1"/>
  <c r="AF42" i="1" s="1"/>
  <c r="AC12" i="1"/>
  <c r="AC15" i="1" s="1"/>
  <c r="W62" i="1"/>
  <c r="W64" i="1" s="1"/>
  <c r="U61" i="1"/>
  <c r="U62" i="1" s="1"/>
  <c r="U64" i="1" s="1"/>
  <c r="B12" i="1"/>
  <c r="B15" i="1" s="1"/>
  <c r="N12" i="1"/>
  <c r="N15" i="1" s="1"/>
  <c r="V12" i="1"/>
  <c r="V15" i="1" s="1"/>
  <c r="AD12" i="1"/>
  <c r="AD15" i="1" s="1"/>
  <c r="G16" i="1"/>
  <c r="T25" i="1"/>
  <c r="T31" i="1" s="1"/>
  <c r="T33" i="1" s="1"/>
  <c r="T46" i="1" s="1"/>
  <c r="T47" i="1" s="1"/>
  <c r="P36" i="1"/>
  <c r="P38" i="1" s="1"/>
  <c r="AB62" i="1"/>
  <c r="AB64" i="1" s="1"/>
  <c r="I76" i="1"/>
  <c r="I77" i="1" s="1"/>
  <c r="I69" i="1"/>
  <c r="I71" i="1" s="1"/>
  <c r="G68" i="1"/>
  <c r="G70" i="1" s="1"/>
  <c r="Z71" i="1"/>
  <c r="X70" i="1"/>
  <c r="AC77" i="1"/>
  <c r="U93" i="1"/>
  <c r="T89" i="1"/>
  <c r="AB89" i="1"/>
  <c r="AD33" i="1"/>
  <c r="AD46" i="1" s="1"/>
  <c r="Y76" i="1"/>
  <c r="AE36" i="1"/>
  <c r="AE38" i="1" s="1"/>
  <c r="Z51" i="1"/>
  <c r="Z52" i="1" s="1"/>
  <c r="C52" i="1"/>
  <c r="AE61" i="1"/>
  <c r="AE62" i="1" s="1"/>
  <c r="AE64" i="1" s="1"/>
  <c r="U77" i="1"/>
  <c r="AD77" i="1"/>
  <c r="W93" i="1"/>
  <c r="V85" i="1"/>
  <c r="V93" i="1" s="1"/>
  <c r="V94" i="1" s="1"/>
  <c r="R85" i="1"/>
  <c r="R93" i="1" s="1"/>
  <c r="U94" i="1"/>
  <c r="X31" i="1"/>
  <c r="X33" i="1" s="1"/>
  <c r="X46" i="1" s="1"/>
  <c r="X47" i="1" s="1"/>
  <c r="P47" i="1"/>
  <c r="C77" i="1"/>
  <c r="T16" i="1"/>
  <c r="F12" i="1"/>
  <c r="F15" i="1" s="1"/>
  <c r="P12" i="1"/>
  <c r="P15" i="1" s="1"/>
  <c r="P16" i="1" s="1"/>
  <c r="X12" i="1"/>
  <c r="X15" i="1" s="1"/>
  <c r="T36" i="1"/>
  <c r="T38" i="1" s="1"/>
  <c r="AF36" i="1"/>
  <c r="AF38" i="1" s="1"/>
  <c r="P57" i="1"/>
  <c r="M68" i="1"/>
  <c r="O76" i="1"/>
  <c r="O77" i="1" s="1"/>
  <c r="B69" i="1"/>
  <c r="B71" i="1" s="1"/>
  <c r="B70" i="1"/>
  <c r="AC69" i="1"/>
  <c r="AC71" i="1" s="1"/>
  <c r="Y93" i="1"/>
  <c r="Y94" i="1" s="1"/>
  <c r="N89" i="1"/>
  <c r="V89" i="1"/>
  <c r="AD87" i="1"/>
  <c r="AE91" i="1"/>
  <c r="AE94" i="1" s="1"/>
  <c r="F94" i="1"/>
  <c r="X16" i="1"/>
  <c r="X41" i="1"/>
  <c r="X42" i="1" s="1"/>
  <c r="W14" i="1"/>
  <c r="M16" i="1"/>
  <c r="U16" i="1"/>
  <c r="U36" i="1"/>
  <c r="U38" i="1" s="1"/>
  <c r="K42" i="1"/>
  <c r="F52" i="1"/>
  <c r="AD52" i="1"/>
  <c r="O62" i="1"/>
  <c r="O64" i="1" s="1"/>
  <c r="M61" i="1"/>
  <c r="M62" i="1" s="1"/>
  <c r="M64" i="1" s="1"/>
  <c r="S61" i="1"/>
  <c r="S62" i="1" s="1"/>
  <c r="S64" i="1" s="1"/>
  <c r="Q69" i="1"/>
  <c r="Q71" i="1" s="1"/>
  <c r="M77" i="1"/>
  <c r="C93" i="1"/>
  <c r="C94" i="1" s="1"/>
  <c r="B85" i="1"/>
  <c r="B93" i="1" s="1"/>
  <c r="Z85" i="1"/>
  <c r="Z93" i="1" s="1"/>
  <c r="Z94" i="1" s="1"/>
  <c r="AA93" i="1"/>
  <c r="AA94" i="1" s="1"/>
  <c r="X85" i="1"/>
  <c r="X93" i="1" s="1"/>
  <c r="O94" i="1"/>
  <c r="W94" i="1"/>
  <c r="V33" i="1"/>
  <c r="V46" i="1" s="1"/>
  <c r="V47" i="1" s="1"/>
  <c r="B55" i="1"/>
  <c r="B57" i="1" s="1"/>
  <c r="N94" i="1"/>
  <c r="P41" i="1"/>
  <c r="P42" i="1" s="1"/>
  <c r="T12" i="1"/>
  <c r="T15" i="1" s="1"/>
  <c r="M41" i="1"/>
  <c r="M42" i="1" s="1"/>
  <c r="V61" i="1"/>
  <c r="V62" i="1" s="1"/>
  <c r="V64" i="1" s="1"/>
  <c r="AD62" i="1"/>
  <c r="AD64" i="1" s="1"/>
  <c r="T61" i="1"/>
  <c r="T62" i="1" s="1"/>
  <c r="T64" i="1" s="1"/>
  <c r="S76" i="1"/>
  <c r="S77" i="1" s="1"/>
  <c r="S69" i="1"/>
  <c r="S71" i="1" s="1"/>
  <c r="Q68" i="1"/>
  <c r="Q70" i="1" s="1"/>
  <c r="R71" i="1"/>
  <c r="AE71" i="1"/>
  <c r="P70" i="1"/>
  <c r="P71" i="1" s="1"/>
  <c r="T77" i="1"/>
  <c r="C88" i="1"/>
  <c r="C89" i="1" s="1"/>
  <c r="B81" i="1"/>
  <c r="B88" i="1" s="1"/>
  <c r="X94" i="1"/>
  <c r="O89" i="1"/>
  <c r="L94" i="1"/>
  <c r="AB94" i="1"/>
  <c r="Y68" i="1"/>
  <c r="Y70" i="1" s="1"/>
  <c r="P89" i="1"/>
  <c r="X89" i="1"/>
  <c r="Q93" i="1"/>
  <c r="Q94" i="1" s="1"/>
  <c r="L70" i="1"/>
  <c r="T70" i="1"/>
  <c r="T71" i="1" s="1"/>
  <c r="P85" i="1"/>
  <c r="P93" i="1" s="1"/>
  <c r="P94" i="1" s="1"/>
  <c r="B91" i="1"/>
  <c r="B94" i="1" s="1"/>
  <c r="R89" i="1"/>
  <c r="Z89" i="1"/>
  <c r="AA69" i="1"/>
  <c r="AA71" i="1" s="1"/>
  <c r="T85" i="1"/>
  <c r="T93" i="1" s="1"/>
  <c r="T94" i="1" s="1"/>
  <c r="Q16" i="1" l="1"/>
  <c r="Q41" i="1"/>
  <c r="Q42" i="1" s="1"/>
  <c r="M70" i="1"/>
  <c r="M69" i="1"/>
  <c r="M71" i="1" s="1"/>
  <c r="V41" i="1"/>
  <c r="V42" i="1" s="1"/>
  <c r="V16" i="1"/>
  <c r="AB16" i="1"/>
  <c r="AB41" i="1"/>
  <c r="AB42" i="1" s="1"/>
  <c r="AA41" i="1"/>
  <c r="AA42" i="1" s="1"/>
  <c r="AA16" i="1"/>
  <c r="H16" i="1"/>
  <c r="H41" i="1"/>
  <c r="H42" i="1" s="1"/>
  <c r="AD89" i="1"/>
  <c r="AD91" i="1"/>
  <c r="AD94" i="1" s="1"/>
  <c r="Y69" i="1"/>
  <c r="Y71" i="1" s="1"/>
  <c r="F16" i="1"/>
  <c r="F41" i="1"/>
  <c r="F42" i="1" s="1"/>
  <c r="O41" i="1"/>
  <c r="O42" i="1" s="1"/>
  <c r="O16" i="1"/>
  <c r="S41" i="1"/>
  <c r="S42" i="1" s="1"/>
  <c r="S16" i="1"/>
  <c r="L16" i="1"/>
  <c r="L41" i="1"/>
  <c r="L42" i="1" s="1"/>
  <c r="W41" i="1"/>
  <c r="W42" i="1" s="1"/>
  <c r="W16" i="1"/>
  <c r="I41" i="1"/>
  <c r="I42" i="1" s="1"/>
  <c r="I16" i="1"/>
  <c r="Z31" i="1"/>
  <c r="Z33" i="1" s="1"/>
  <c r="Z46" i="1" s="1"/>
  <c r="Z47" i="1" s="1"/>
  <c r="AC16" i="1"/>
  <c r="AC41" i="1"/>
  <c r="AC42" i="1" s="1"/>
  <c r="N16" i="1"/>
  <c r="N41" i="1"/>
  <c r="N42" i="1" s="1"/>
  <c r="R41" i="1"/>
  <c r="R42" i="1" s="1"/>
  <c r="R16" i="1"/>
  <c r="AD16" i="1"/>
  <c r="AD41" i="1"/>
  <c r="AD42" i="1" s="1"/>
  <c r="Z41" i="1"/>
  <c r="Z42" i="1" s="1"/>
  <c r="Z16" i="1"/>
  <c r="C16" i="1"/>
  <c r="C41" i="1"/>
  <c r="B16" i="1"/>
  <c r="B41" i="1"/>
  <c r="B42" i="1" s="1"/>
</calcChain>
</file>

<file path=xl/sharedStrings.xml><?xml version="1.0" encoding="utf-8"?>
<sst xmlns="http://schemas.openxmlformats.org/spreadsheetml/2006/main" count="80" uniqueCount="77">
  <si>
    <t>KONSERN</t>
  </si>
  <si>
    <t>3. kvt 24</t>
  </si>
  <si>
    <t>2. kvt 24</t>
  </si>
  <si>
    <t>1. kvt 24</t>
  </si>
  <si>
    <t>4. kvt. 23</t>
  </si>
  <si>
    <t>3. kvt 23</t>
  </si>
  <si>
    <t>2. kvt 23</t>
  </si>
  <si>
    <t>1. kvt 23</t>
  </si>
  <si>
    <t>4. kvt 22</t>
  </si>
  <si>
    <t>3. kvt 22</t>
  </si>
  <si>
    <t>2. kvt 22</t>
  </si>
  <si>
    <t>1. kvt 22</t>
  </si>
  <si>
    <t>4. kvt 21</t>
  </si>
  <si>
    <t>3. kvt 21</t>
  </si>
  <si>
    <t>2. kvt 21</t>
  </si>
  <si>
    <t>1. kvt 21</t>
  </si>
  <si>
    <t>Periodens resultat</t>
  </si>
  <si>
    <t>Fratrukket renter hybridkapital</t>
  </si>
  <si>
    <t>Periodens resultat eks. renter hybridkapital</t>
  </si>
  <si>
    <t/>
  </si>
  <si>
    <t>Total egenkapital</t>
  </si>
  <si>
    <t>Fratrukket hybridkapital</t>
  </si>
  <si>
    <t>Egenkapital eks. hybridkapital</t>
  </si>
  <si>
    <t>Snitt EK eks. hybridkapital</t>
  </si>
  <si>
    <t>Periodens res. annualisert Eks. renter hybridkapital</t>
  </si>
  <si>
    <t>Delt på snitt egenkapital eks. hybridkapital</t>
  </si>
  <si>
    <t>Egenkapitalavkastning i prosent eks. hybridkapital</t>
  </si>
  <si>
    <t>Egenkapitalbevisbrøk</t>
  </si>
  <si>
    <t>Totalt fond for urealiserte gevinster</t>
  </si>
  <si>
    <t>Totalt annen egenkapital</t>
  </si>
  <si>
    <t xml:space="preserve">Antall utstedte bevis </t>
  </si>
  <si>
    <t>Snitt antall ustedte bevis</t>
  </si>
  <si>
    <t>Fratrukket ikke-kontrollerende eierinteresser</t>
  </si>
  <si>
    <t>Fratrukket avsatt gaver</t>
  </si>
  <si>
    <t>Fratrukket grunnfondskapital</t>
  </si>
  <si>
    <t>Fratrukket grunnfondets andel av fond for urealiserte gevinster (sum multiplisert med brøk)</t>
  </si>
  <si>
    <t>Fratrukket grunnfondets andel av annen egenkapital (sum multiplisert med brøk)</t>
  </si>
  <si>
    <t>Egenkapitalbeviseiernes andel av egenkapitalen</t>
  </si>
  <si>
    <t xml:space="preserve">Delt på antall egenkapitalbevis </t>
  </si>
  <si>
    <t>Bokført egenkapital per egenkapitalbevis</t>
  </si>
  <si>
    <t>Resultat til egenkapitalbeviseiere</t>
  </si>
  <si>
    <t>Delt på snitt antall utstedte bevis</t>
  </si>
  <si>
    <t>Resultat per egenkapitalbevis</t>
  </si>
  <si>
    <t>Børskurs</t>
  </si>
  <si>
    <t>Delt på resultat per egenkapitalbevis, annualisert</t>
  </si>
  <si>
    <t>Pris / Resultat per EKB</t>
  </si>
  <si>
    <t>Delt på bokført egenkapital per egenkapitalbevis</t>
  </si>
  <si>
    <t>Pris / Bokført egenkapital per egenkapitalbevis</t>
  </si>
  <si>
    <t>Sum driftskostnader</t>
  </si>
  <si>
    <t>Delt på sum inntekter</t>
  </si>
  <si>
    <t>Kostnadsprosent</t>
  </si>
  <si>
    <t>Innskudd fra og gjeld til kunder</t>
  </si>
  <si>
    <t>Delt på brutto utlån til kunder inkl. SB1 Boligkreditt</t>
  </si>
  <si>
    <t>Innskuddsdekning inkl. SB1 Boligkreditt</t>
  </si>
  <si>
    <t>Innskudd fra kunder ved utgangen av perioden</t>
  </si>
  <si>
    <t>Innskudd fra kunder ved utgangen av samme periode forrige år (kvartal)</t>
  </si>
  <si>
    <t>Innskuddsvekst</t>
  </si>
  <si>
    <t>Innskuddsvekst siste 12 mnd (kvartal)</t>
  </si>
  <si>
    <t>Brutto utlån til kunder inkl SB1 Boligkreditt ved utgangen av perioden</t>
  </si>
  <si>
    <t>Fratrukket brutto utlån til kunder inkl SB1 Boligkreditt ved utgangen samme periode forrige år (kvartal)</t>
  </si>
  <si>
    <t>Utlånsvekst inkl. SB1 Boligkreditt</t>
  </si>
  <si>
    <t>Delt på Brutto utlån til kunder inkl SB1 Boligkreditt ved utgangen samme periode forrige år (kvartal)</t>
  </si>
  <si>
    <t>Utlånsvekst inkl. SB1 Boligkreditt i prosent, 12 mnd (kvartal)</t>
  </si>
  <si>
    <t>Tap på utlån og garantier i resultatet</t>
  </si>
  <si>
    <t>Tap på utlån annualisert</t>
  </si>
  <si>
    <t>Delt på snitt. Brutto utlån til kunder inkl. SB1 Boligkreditt</t>
  </si>
  <si>
    <t>Tapsprosent utlån til kunder</t>
  </si>
  <si>
    <t>Sum forvaltningskapital ved utgangen av perioden</t>
  </si>
  <si>
    <t>Snitt forvaltningskapital ved utgangen av perioden</t>
  </si>
  <si>
    <t>Sum forvaltningskapital inkl. overførte lån ved utgangen av perioden</t>
  </si>
  <si>
    <t>Snitt forvaltningskapital inkl. overførte lån ved utgangen av perioden</t>
  </si>
  <si>
    <t>Netto rente- og kredittprovisjonsinntekter, annualisert</t>
  </si>
  <si>
    <t>Delt på snitt forvaltningskapital ved utgangen av perioden</t>
  </si>
  <si>
    <t>Nettorente i % av snitt forvaltningskapital ved utgangen av perioden</t>
  </si>
  <si>
    <t>Provisjon knyttet til utlån overført til kredittforetak, annualisert</t>
  </si>
  <si>
    <t>Delt på snitt forvaltningskapital inkl. overførte lån ved utgangen av periodien</t>
  </si>
  <si>
    <t>Nettorente i % av snitt forvaltningskapital inkl. overførte lån ved utgangen av perioden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</si>
</sst>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\ %"/>
    <numFmt numFmtId="168" formatCode="_-* #,##0.0_-;\-* #,##0.0_-;_-* &quot;-&quot;??_-;_-@_-"/>
    <numFmt numFmtId="169" formatCode="0.0"/>
    <numFmt numFmtId="170" formatCode="_-* #,##0.0_-;\-* #,##0.0_-;_-* &quot;-&quot;?_-;_-@_-"/>
  </numFmts>
  <fonts count="10" x14ac:knownFonts="1">
    <font>
      <sz val="10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8"/>
      <name val="Arial"/>
      <family val="2"/>
    </font>
    <font>
      <sz val="11"/>
      <color theme="1" tint="4.9989318521683403E-2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/>
    <xf numFmtId="1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14" fontId="4" fillId="0" borderId="1" xfId="0" applyNumberFormat="1" applyFont="1" applyBorder="1" applyAlignment="1">
      <alignment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165" fontId="5" fillId="0" borderId="0" xfId="1" applyNumberFormat="1" applyFont="1"/>
    <xf numFmtId="165" fontId="5" fillId="0" borderId="0" xfId="1" applyNumberFormat="1" applyFont="1" applyAlignment="1">
      <alignment horizontal="right"/>
    </xf>
    <xf numFmtId="0" fontId="0" fillId="0" borderId="3" xfId="0" applyBorder="1"/>
    <xf numFmtId="165" fontId="5" fillId="0" borderId="1" xfId="1" applyNumberFormat="1" applyFont="1" applyBorder="1"/>
    <xf numFmtId="165" fontId="5" fillId="0" borderId="1" xfId="1" applyNumberFormat="1" applyFont="1" applyBorder="1" applyAlignment="1">
      <alignment horizontal="right"/>
    </xf>
    <xf numFmtId="165" fontId="1" fillId="0" borderId="0" xfId="1" applyNumberFormat="1" applyFont="1"/>
    <xf numFmtId="165" fontId="1" fillId="0" borderId="0" xfId="1" quotePrefix="1" applyNumberFormat="1" applyFont="1"/>
    <xf numFmtId="165" fontId="1" fillId="0" borderId="0" xfId="1" applyNumberFormat="1" applyFont="1" applyAlignment="1">
      <alignment horizontal="right"/>
    </xf>
    <xf numFmtId="166" fontId="5" fillId="0" borderId="0" xfId="1" applyNumberFormat="1" applyFont="1"/>
    <xf numFmtId="0" fontId="2" fillId="2" borderId="4" xfId="0" applyFont="1" applyFill="1" applyBorder="1"/>
    <xf numFmtId="167" fontId="4" fillId="2" borderId="5" xfId="2" applyNumberFormat="1" applyFont="1" applyFill="1" applyBorder="1"/>
    <xf numFmtId="0" fontId="2" fillId="0" borderId="6" xfId="0" applyFont="1" applyBorder="1"/>
    <xf numFmtId="167" fontId="6" fillId="0" borderId="6" xfId="2" applyNumberFormat="1" applyFont="1" applyBorder="1"/>
    <xf numFmtId="167" fontId="6" fillId="0" borderId="6" xfId="2" applyNumberFormat="1" applyFont="1" applyBorder="1" applyAlignment="1">
      <alignment horizontal="right"/>
    </xf>
    <xf numFmtId="167" fontId="4" fillId="0" borderId="6" xfId="2" applyNumberFormat="1" applyFont="1" applyBorder="1" applyAlignment="1">
      <alignment horizontal="right"/>
    </xf>
    <xf numFmtId="167" fontId="4" fillId="0" borderId="6" xfId="2" applyNumberFormat="1" applyFont="1" applyBorder="1"/>
    <xf numFmtId="10" fontId="5" fillId="0" borderId="0" xfId="0" applyNumberFormat="1" applyFont="1"/>
    <xf numFmtId="0" fontId="0" fillId="0" borderId="1" xfId="0" applyBorder="1"/>
    <xf numFmtId="0" fontId="5" fillId="0" borderId="1" xfId="1" applyNumberFormat="1" applyFont="1" applyBorder="1"/>
    <xf numFmtId="168" fontId="2" fillId="3" borderId="7" xfId="0" applyNumberFormat="1" applyFont="1" applyFill="1" applyBorder="1"/>
    <xf numFmtId="168" fontId="4" fillId="3" borderId="7" xfId="1" applyNumberFormat="1" applyFont="1" applyFill="1" applyBorder="1"/>
    <xf numFmtId="168" fontId="0" fillId="0" borderId="0" xfId="0" applyNumberFormat="1"/>
    <xf numFmtId="164" fontId="1" fillId="0" borderId="0" xfId="1" applyFont="1"/>
    <xf numFmtId="164" fontId="5" fillId="0" borderId="0" xfId="1" applyFont="1"/>
    <xf numFmtId="10" fontId="7" fillId="0" borderId="2" xfId="2" applyNumberFormat="1" applyFont="1" applyBorder="1"/>
    <xf numFmtId="165" fontId="5" fillId="0" borderId="1" xfId="0" applyNumberFormat="1" applyFont="1" applyBorder="1"/>
    <xf numFmtId="169" fontId="5" fillId="0" borderId="0" xfId="0" applyNumberFormat="1" applyFont="1"/>
    <xf numFmtId="169" fontId="5" fillId="0" borderId="0" xfId="0" applyNumberFormat="1" applyFont="1" applyAlignment="1">
      <alignment horizontal="right"/>
    </xf>
    <xf numFmtId="169" fontId="8" fillId="0" borderId="0" xfId="0" applyNumberFormat="1" applyFont="1"/>
    <xf numFmtId="169" fontId="8" fillId="0" borderId="0" xfId="0" applyNumberFormat="1" applyFont="1" applyAlignment="1">
      <alignment horizontal="right"/>
    </xf>
    <xf numFmtId="0" fontId="2" fillId="3" borderId="5" xfId="0" applyFont="1" applyFill="1" applyBorder="1"/>
    <xf numFmtId="169" fontId="4" fillId="3" borderId="5" xfId="0" applyNumberFormat="1" applyFont="1" applyFill="1" applyBorder="1"/>
    <xf numFmtId="0" fontId="2" fillId="0" borderId="0" xfId="0" applyFont="1"/>
    <xf numFmtId="43" fontId="1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1" fillId="0" borderId="0" xfId="0" applyNumberFormat="1" applyFont="1"/>
    <xf numFmtId="168" fontId="5" fillId="0" borderId="1" xfId="0" applyNumberFormat="1" applyFont="1" applyBorder="1"/>
    <xf numFmtId="43" fontId="4" fillId="3" borderId="5" xfId="0" applyNumberFormat="1" applyFont="1" applyFill="1" applyBorder="1"/>
    <xf numFmtId="43" fontId="6" fillId="3" borderId="5" xfId="0" applyNumberFormat="1" applyFont="1" applyFill="1" applyBorder="1" applyAlignment="1">
      <alignment horizontal="right"/>
    </xf>
    <xf numFmtId="43" fontId="4" fillId="3" borderId="5" xfId="0" applyNumberFormat="1" applyFont="1" applyFill="1" applyBorder="1" applyAlignment="1">
      <alignment horizontal="right"/>
    </xf>
    <xf numFmtId="43" fontId="9" fillId="3" borderId="5" xfId="0" applyNumberFormat="1" applyFont="1" applyFill="1" applyBorder="1"/>
    <xf numFmtId="170" fontId="1" fillId="0" borderId="0" xfId="0" applyNumberFormat="1" applyFont="1"/>
    <xf numFmtId="43" fontId="5" fillId="0" borderId="0" xfId="0" applyNumberFormat="1" applyFont="1"/>
    <xf numFmtId="165" fontId="5" fillId="0" borderId="0" xfId="1" applyNumberFormat="1" applyFont="1" applyBorder="1"/>
    <xf numFmtId="0" fontId="2" fillId="3" borderId="7" xfId="0" applyFont="1" applyFill="1" applyBorder="1"/>
    <xf numFmtId="167" fontId="4" fillId="3" borderId="7" xfId="2" applyNumberFormat="1" applyFont="1" applyFill="1" applyBorder="1" applyAlignment="1">
      <alignment horizontal="right"/>
    </xf>
    <xf numFmtId="167" fontId="4" fillId="3" borderId="7" xfId="2" applyNumberFormat="1" applyFont="1" applyFill="1" applyBorder="1"/>
    <xf numFmtId="167" fontId="0" fillId="0" borderId="0" xfId="0" applyNumberFormat="1"/>
    <xf numFmtId="10" fontId="1" fillId="0" borderId="0" xfId="2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5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3" borderId="5" xfId="0" applyFont="1" applyFill="1" applyBorder="1" applyAlignment="1">
      <alignment wrapText="1"/>
    </xf>
    <xf numFmtId="167" fontId="4" fillId="3" borderId="5" xfId="2" applyNumberFormat="1" applyFont="1" applyFill="1" applyBorder="1"/>
    <xf numFmtId="10" fontId="4" fillId="3" borderId="5" xfId="2" applyNumberFormat="1" applyFont="1" applyFill="1" applyBorder="1"/>
    <xf numFmtId="165" fontId="1" fillId="0" borderId="0" xfId="0" applyNumberFormat="1" applyFont="1"/>
    <xf numFmtId="10" fontId="5" fillId="0" borderId="0" xfId="2" applyNumberFormat="1" applyFont="1"/>
    <xf numFmtId="165" fontId="4" fillId="3" borderId="5" xfId="1" applyNumberFormat="1" applyFont="1" applyFill="1" applyBorder="1"/>
    <xf numFmtId="0" fontId="3" fillId="0" borderId="0" xfId="0" applyFont="1"/>
    <xf numFmtId="1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2" fillId="3" borderId="5" xfId="0" applyFont="1" applyFill="1" applyBorder="1" applyAlignment="1">
      <alignment horizontal="left" wrapText="1"/>
    </xf>
    <xf numFmtId="1" fontId="1" fillId="0" borderId="0" xfId="0" applyNumberFormat="1" applyFont="1"/>
    <xf numFmtId="164" fontId="0" fillId="0" borderId="0" xfId="1" applyFon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7B6D-D102-4EFF-A4BB-9503B8ED3403}">
  <dimension ref="A1:AF105"/>
  <sheetViews>
    <sheetView tabSelected="1" workbookViewId="0">
      <pane ySplit="1" topLeftCell="A2" activePane="bottomLeft" state="frozen"/>
      <selection activeCell="C1" sqref="C1"/>
      <selection pane="bottomLeft" activeCell="B88" sqref="B88"/>
    </sheetView>
  </sheetViews>
  <sheetFormatPr baseColWidth="10" defaultRowHeight="15" x14ac:dyDescent="0.25"/>
  <cols>
    <col min="1" max="1" width="108.42578125" customWidth="1"/>
    <col min="2" max="10" width="21.5703125" style="6" bestFit="1" customWidth="1"/>
    <col min="11" max="11" width="18" style="7" customWidth="1"/>
    <col min="12" max="12" width="18" style="6" customWidth="1"/>
    <col min="13" max="13" width="21.5703125" style="6" bestFit="1" customWidth="1"/>
    <col min="14" max="14" width="18" style="7" customWidth="1"/>
    <col min="15" max="15" width="18" style="6" customWidth="1"/>
    <col min="16" max="16" width="21.5703125" style="6" bestFit="1" customWidth="1"/>
    <col min="17" max="17" width="18" style="7" customWidth="1"/>
    <col min="18" max="18" width="18" style="6" customWidth="1"/>
    <col min="19" max="19" width="18" style="7" customWidth="1"/>
    <col min="20" max="21" width="18" style="8" customWidth="1"/>
    <col min="22" max="23" width="18" style="7" customWidth="1"/>
    <col min="24" max="24" width="18" style="9" customWidth="1"/>
    <col min="25" max="25" width="18" style="8" customWidth="1"/>
    <col min="26" max="26" width="21.5703125" style="6" bestFit="1" customWidth="1"/>
    <col min="27" max="27" width="18" style="7" customWidth="1"/>
    <col min="28" max="28" width="18" style="6" customWidth="1"/>
    <col min="29" max="29" width="18" style="7" customWidth="1"/>
    <col min="30" max="30" width="18" style="6" customWidth="1"/>
    <col min="31" max="32" width="18" style="7" customWidth="1"/>
  </cols>
  <sheetData>
    <row r="1" spans="1:32" s="1" customFormat="1" x14ac:dyDescent="0.25">
      <c r="A1" s="1" t="s">
        <v>0</v>
      </c>
      <c r="B1" s="2">
        <v>45565</v>
      </c>
      <c r="C1" s="2" t="s">
        <v>1</v>
      </c>
      <c r="D1" s="2">
        <v>45473</v>
      </c>
      <c r="E1" s="2" t="s">
        <v>2</v>
      </c>
      <c r="F1" s="2">
        <v>45382</v>
      </c>
      <c r="G1" s="2" t="s">
        <v>3</v>
      </c>
      <c r="H1" s="2">
        <v>45291</v>
      </c>
      <c r="I1" s="2" t="s">
        <v>4</v>
      </c>
      <c r="J1" s="2">
        <v>45199</v>
      </c>
      <c r="K1" s="3" t="s">
        <v>5</v>
      </c>
      <c r="L1" s="2">
        <v>45107</v>
      </c>
      <c r="M1" s="2" t="s">
        <v>6</v>
      </c>
      <c r="N1" s="2">
        <v>45016</v>
      </c>
      <c r="O1" s="2" t="s">
        <v>7</v>
      </c>
      <c r="P1" s="4">
        <v>44926</v>
      </c>
      <c r="Q1" s="3" t="s">
        <v>8</v>
      </c>
      <c r="R1" s="4">
        <v>44834</v>
      </c>
      <c r="S1" s="3" t="s">
        <v>9</v>
      </c>
      <c r="T1" s="2">
        <v>44742</v>
      </c>
      <c r="U1" s="3" t="s">
        <v>10</v>
      </c>
      <c r="V1" s="2">
        <v>44651</v>
      </c>
      <c r="W1" s="3" t="s">
        <v>11</v>
      </c>
      <c r="X1" s="4">
        <v>44561</v>
      </c>
      <c r="Y1" s="3" t="s">
        <v>12</v>
      </c>
      <c r="Z1" s="4">
        <v>44469</v>
      </c>
      <c r="AA1" s="3" t="s">
        <v>13</v>
      </c>
      <c r="AB1" s="4">
        <v>44377</v>
      </c>
      <c r="AC1" s="3" t="s">
        <v>14</v>
      </c>
      <c r="AD1" s="4">
        <v>44286</v>
      </c>
      <c r="AE1" s="3" t="s">
        <v>15</v>
      </c>
      <c r="AF1" s="2">
        <v>44196</v>
      </c>
    </row>
    <row r="3" spans="1:32" x14ac:dyDescent="0.25">
      <c r="A3" s="5"/>
    </row>
    <row r="4" spans="1:32" x14ac:dyDescent="0.25">
      <c r="A4" t="s">
        <v>16</v>
      </c>
      <c r="B4" s="10">
        <v>438.5</v>
      </c>
      <c r="C4" s="10">
        <v>155.4</v>
      </c>
      <c r="D4" s="10">
        <v>283.10000000000002</v>
      </c>
      <c r="E4" s="10">
        <v>139</v>
      </c>
      <c r="F4" s="10">
        <v>144</v>
      </c>
      <c r="G4" s="10">
        <v>144</v>
      </c>
      <c r="H4" s="10">
        <f>+I4+K4+M4+O4</f>
        <v>491</v>
      </c>
      <c r="I4" s="10">
        <v>101.5</v>
      </c>
      <c r="J4" s="10">
        <v>389.5</v>
      </c>
      <c r="K4" s="11">
        <v>134.39999999999998</v>
      </c>
      <c r="L4" s="10">
        <f>+M4+O4</f>
        <v>255.10000000000002</v>
      </c>
      <c r="M4" s="10">
        <v>110.7</v>
      </c>
      <c r="N4" s="11">
        <f>+O4</f>
        <v>144.4</v>
      </c>
      <c r="O4" s="10">
        <v>144.4</v>
      </c>
      <c r="P4" s="10">
        <f>+Q4+S4+U4+W4</f>
        <v>444.8</v>
      </c>
      <c r="Q4" s="11">
        <v>165.3</v>
      </c>
      <c r="R4" s="10">
        <f>+S4+U4+W4</f>
        <v>279.5</v>
      </c>
      <c r="S4" s="11">
        <v>93.100000000000009</v>
      </c>
      <c r="T4" s="11">
        <f>+U4+W4</f>
        <v>186.39999999999998</v>
      </c>
      <c r="U4" s="11">
        <v>71.099999999999966</v>
      </c>
      <c r="V4" s="11">
        <f>+W4</f>
        <v>115.30000000000001</v>
      </c>
      <c r="W4" s="11">
        <v>115.30000000000001</v>
      </c>
      <c r="X4" s="10">
        <f>+Y4+AA4+AC4+AE4</f>
        <v>205</v>
      </c>
      <c r="Y4" s="11">
        <v>14.5</v>
      </c>
      <c r="Z4" s="10">
        <f>+AA4+AC4+AE4</f>
        <v>190.5</v>
      </c>
      <c r="AA4" s="11">
        <v>57.6</v>
      </c>
      <c r="AB4" s="10">
        <f>+AC4+AE4</f>
        <v>132.9</v>
      </c>
      <c r="AC4" s="11">
        <v>61.9</v>
      </c>
      <c r="AD4" s="10">
        <f>+AE4</f>
        <v>71</v>
      </c>
      <c r="AE4" s="11">
        <v>71</v>
      </c>
      <c r="AF4" s="11">
        <v>340</v>
      </c>
    </row>
    <row r="5" spans="1:32" x14ac:dyDescent="0.25">
      <c r="A5" s="12" t="s">
        <v>17</v>
      </c>
      <c r="B5" s="13">
        <v>17</v>
      </c>
      <c r="C5" s="13">
        <f>+B5-D5</f>
        <v>6</v>
      </c>
      <c r="D5" s="13">
        <v>11</v>
      </c>
      <c r="E5" s="13">
        <v>7</v>
      </c>
      <c r="F5" s="13">
        <v>4</v>
      </c>
      <c r="G5" s="13">
        <f>+F5</f>
        <v>4</v>
      </c>
      <c r="H5" s="13">
        <f>+I5+J5</f>
        <v>21</v>
      </c>
      <c r="I5" s="13">
        <f>21-J5</f>
        <v>7</v>
      </c>
      <c r="J5" s="13">
        <v>14</v>
      </c>
      <c r="K5" s="14">
        <v>4</v>
      </c>
      <c r="L5" s="13">
        <v>10</v>
      </c>
      <c r="M5" s="13">
        <f>+L5-N5</f>
        <v>6</v>
      </c>
      <c r="N5" s="14">
        <v>4</v>
      </c>
      <c r="O5" s="13">
        <f>+N5</f>
        <v>4</v>
      </c>
      <c r="P5" s="13">
        <v>13</v>
      </c>
      <c r="Q5" s="14">
        <f>+P5-R5</f>
        <v>1</v>
      </c>
      <c r="R5" s="13">
        <v>12</v>
      </c>
      <c r="S5" s="14">
        <f>+R5-T5</f>
        <v>5</v>
      </c>
      <c r="T5" s="14">
        <v>7</v>
      </c>
      <c r="U5" s="14">
        <f>+T5-V5</f>
        <v>4</v>
      </c>
      <c r="V5" s="14">
        <v>3</v>
      </c>
      <c r="W5" s="14">
        <v>3</v>
      </c>
      <c r="X5" s="13">
        <v>12.44</v>
      </c>
      <c r="Y5" s="14">
        <f>+X5-Z5</f>
        <v>2.4399999999999995</v>
      </c>
      <c r="Z5" s="13">
        <v>10</v>
      </c>
      <c r="AA5" s="14">
        <f>+Z5-AB5</f>
        <v>3</v>
      </c>
      <c r="AB5" s="13">
        <v>7</v>
      </c>
      <c r="AC5" s="14">
        <f>+AB5-AD5</f>
        <v>3</v>
      </c>
      <c r="AD5" s="13">
        <v>4</v>
      </c>
      <c r="AE5" s="14">
        <v>4</v>
      </c>
      <c r="AF5" s="14">
        <v>12</v>
      </c>
    </row>
    <row r="6" spans="1:32" x14ac:dyDescent="0.25">
      <c r="A6" s="5" t="s">
        <v>18</v>
      </c>
      <c r="B6" s="10">
        <f>B4-B5</f>
        <v>421.5</v>
      </c>
      <c r="C6" s="10">
        <f t="shared" ref="C6" si="0">C4-C5</f>
        <v>149.4</v>
      </c>
      <c r="D6" s="10">
        <v>272.10000000000002</v>
      </c>
      <c r="E6" s="10">
        <v>132</v>
      </c>
      <c r="F6" s="10">
        <f>F4-F5</f>
        <v>140</v>
      </c>
      <c r="G6" s="10">
        <f t="shared" ref="G6" si="1">G4-G5</f>
        <v>140</v>
      </c>
      <c r="H6" s="10">
        <f>+H4-H5</f>
        <v>470</v>
      </c>
      <c r="I6" s="10">
        <f>+I4-I5</f>
        <v>94.5</v>
      </c>
      <c r="J6" s="10">
        <v>375.5</v>
      </c>
      <c r="K6" s="11">
        <v>130.39999999999998</v>
      </c>
      <c r="L6" s="11">
        <f t="shared" ref="L6:AE6" si="2">L4-L5</f>
        <v>245.10000000000002</v>
      </c>
      <c r="M6" s="10">
        <f t="shared" si="2"/>
        <v>104.7</v>
      </c>
      <c r="N6" s="11">
        <f t="shared" si="2"/>
        <v>140.4</v>
      </c>
      <c r="O6" s="11">
        <f t="shared" si="2"/>
        <v>140.4</v>
      </c>
      <c r="P6" s="10">
        <f t="shared" si="2"/>
        <v>431.8</v>
      </c>
      <c r="Q6" s="11">
        <f t="shared" si="2"/>
        <v>164.3</v>
      </c>
      <c r="R6" s="11">
        <f t="shared" si="2"/>
        <v>267.5</v>
      </c>
      <c r="S6" s="11">
        <f t="shared" si="2"/>
        <v>88.100000000000009</v>
      </c>
      <c r="T6" s="11">
        <f t="shared" si="2"/>
        <v>179.39999999999998</v>
      </c>
      <c r="U6" s="11">
        <f t="shared" si="2"/>
        <v>67.099999999999966</v>
      </c>
      <c r="V6" s="11">
        <f t="shared" si="2"/>
        <v>112.30000000000001</v>
      </c>
      <c r="W6" s="11">
        <f t="shared" si="2"/>
        <v>112.30000000000001</v>
      </c>
      <c r="X6" s="11">
        <f t="shared" si="2"/>
        <v>192.56</v>
      </c>
      <c r="Y6" s="11">
        <f t="shared" si="2"/>
        <v>12.06</v>
      </c>
      <c r="Z6" s="11">
        <f t="shared" si="2"/>
        <v>180.5</v>
      </c>
      <c r="AA6" s="11">
        <f t="shared" si="2"/>
        <v>54.6</v>
      </c>
      <c r="AB6" s="10">
        <f t="shared" si="2"/>
        <v>125.9</v>
      </c>
      <c r="AC6" s="11">
        <f t="shared" si="2"/>
        <v>58.9</v>
      </c>
      <c r="AD6" s="10">
        <f t="shared" si="2"/>
        <v>67</v>
      </c>
      <c r="AE6" s="11">
        <f t="shared" si="2"/>
        <v>67</v>
      </c>
      <c r="AF6" s="11">
        <f>+AF4-AF5</f>
        <v>328</v>
      </c>
    </row>
    <row r="7" spans="1:32" x14ac:dyDescent="0.25">
      <c r="A7" s="5"/>
      <c r="B7" s="15"/>
      <c r="C7" s="16"/>
      <c r="D7" s="15"/>
      <c r="E7" s="16"/>
      <c r="F7" s="15"/>
      <c r="G7" s="16"/>
      <c r="H7" s="15"/>
      <c r="I7" s="16" t="s">
        <v>19</v>
      </c>
      <c r="J7" s="15"/>
      <c r="K7" s="17"/>
      <c r="L7" s="15"/>
      <c r="M7" s="15"/>
      <c r="N7" s="17"/>
      <c r="O7" s="15"/>
      <c r="P7" s="15"/>
      <c r="Q7" s="17"/>
      <c r="R7" s="15"/>
      <c r="S7" s="17"/>
      <c r="T7" s="11"/>
      <c r="U7" s="11"/>
      <c r="V7" s="17"/>
      <c r="W7" s="17"/>
      <c r="X7" s="10"/>
      <c r="Y7" s="11"/>
      <c r="Z7" s="15"/>
      <c r="AA7" s="17"/>
      <c r="AB7" s="15"/>
      <c r="AC7" s="17"/>
      <c r="AD7" s="15"/>
      <c r="AE7" s="17"/>
      <c r="AF7" s="17"/>
    </row>
    <row r="8" spans="1:32" x14ac:dyDescent="0.25">
      <c r="A8" s="5" t="s">
        <v>20</v>
      </c>
      <c r="B8" s="10">
        <v>5098</v>
      </c>
      <c r="C8" s="10">
        <f>+B8</f>
        <v>5098</v>
      </c>
      <c r="D8" s="10">
        <v>4960.5</v>
      </c>
      <c r="E8" s="10">
        <v>4960.5</v>
      </c>
      <c r="F8" s="18">
        <v>4830.1000000000004</v>
      </c>
      <c r="G8" s="10">
        <v>4830.1000000000004</v>
      </c>
      <c r="H8" s="10">
        <v>5049.54</v>
      </c>
      <c r="I8" s="10">
        <v>5049.54</v>
      </c>
      <c r="J8" s="10">
        <v>4967</v>
      </c>
      <c r="K8" s="11">
        <v>4967</v>
      </c>
      <c r="L8" s="10">
        <v>4837</v>
      </c>
      <c r="M8" s="10">
        <f>+L8</f>
        <v>4837</v>
      </c>
      <c r="N8" s="11">
        <v>4740</v>
      </c>
      <c r="O8" s="10">
        <f>+N8</f>
        <v>4740</v>
      </c>
      <c r="P8" s="10">
        <v>4935</v>
      </c>
      <c r="Q8" s="11">
        <f>+P8</f>
        <v>4935</v>
      </c>
      <c r="R8" s="10">
        <v>4773</v>
      </c>
      <c r="S8" s="11">
        <f>+R8</f>
        <v>4773</v>
      </c>
      <c r="T8" s="11">
        <v>4681</v>
      </c>
      <c r="U8" s="11">
        <f>+T8</f>
        <v>4681</v>
      </c>
      <c r="V8" s="11">
        <v>4612</v>
      </c>
      <c r="W8" s="11">
        <f>+V8</f>
        <v>4612</v>
      </c>
      <c r="X8" s="10">
        <v>4626</v>
      </c>
      <c r="Y8" s="11">
        <f>+X8</f>
        <v>4626</v>
      </c>
      <c r="Z8" s="10">
        <f>+AA8</f>
        <v>4223</v>
      </c>
      <c r="AA8" s="11">
        <v>4223</v>
      </c>
      <c r="AB8" s="10">
        <f>+AC8</f>
        <v>3868</v>
      </c>
      <c r="AC8" s="11">
        <v>3868</v>
      </c>
      <c r="AD8" s="10">
        <f>+AE8</f>
        <v>3811</v>
      </c>
      <c r="AE8" s="11">
        <v>3811</v>
      </c>
      <c r="AF8" s="11">
        <v>3822</v>
      </c>
    </row>
    <row r="9" spans="1:32" x14ac:dyDescent="0.25">
      <c r="A9" s="12" t="s">
        <v>21</v>
      </c>
      <c r="B9" s="13">
        <v>397.5</v>
      </c>
      <c r="C9" s="13">
        <f>+B9</f>
        <v>397.5</v>
      </c>
      <c r="D9" s="13">
        <v>397.5</v>
      </c>
      <c r="E9" s="13">
        <v>397.5</v>
      </c>
      <c r="F9" s="13">
        <v>397.5</v>
      </c>
      <c r="G9" s="13">
        <v>397.5</v>
      </c>
      <c r="H9" s="13">
        <v>397.5</v>
      </c>
      <c r="I9" s="13">
        <v>397.5</v>
      </c>
      <c r="J9" s="13">
        <v>398</v>
      </c>
      <c r="K9" s="14">
        <v>398</v>
      </c>
      <c r="L9" s="13">
        <v>398.4</v>
      </c>
      <c r="M9" s="13">
        <f>+L9</f>
        <v>398.4</v>
      </c>
      <c r="N9" s="14">
        <v>398.4</v>
      </c>
      <c r="O9" s="13">
        <v>398.4</v>
      </c>
      <c r="P9" s="13">
        <v>398.4</v>
      </c>
      <c r="Q9" s="14">
        <f>+P9</f>
        <v>398.4</v>
      </c>
      <c r="R9" s="13">
        <v>398.44</v>
      </c>
      <c r="S9" s="14">
        <f>+R9</f>
        <v>398.44</v>
      </c>
      <c r="T9" s="14">
        <v>398.4</v>
      </c>
      <c r="U9" s="14">
        <f>+T9</f>
        <v>398.4</v>
      </c>
      <c r="V9" s="14">
        <v>398.4</v>
      </c>
      <c r="W9" s="14">
        <v>398.4</v>
      </c>
      <c r="X9" s="13">
        <v>398.4</v>
      </c>
      <c r="Y9" s="14">
        <f>+X9</f>
        <v>398.4</v>
      </c>
      <c r="Z9" s="13">
        <f>+AA9</f>
        <v>601</v>
      </c>
      <c r="AA9" s="14">
        <v>601</v>
      </c>
      <c r="AB9" s="13">
        <f>+AC9</f>
        <v>299.39999999999998</v>
      </c>
      <c r="AC9" s="14">
        <v>299.39999999999998</v>
      </c>
      <c r="AD9" s="13">
        <f>+AE9</f>
        <v>299.39999999999998</v>
      </c>
      <c r="AE9" s="14">
        <v>299.39999999999998</v>
      </c>
      <c r="AF9" s="14">
        <v>299.39999999999998</v>
      </c>
    </row>
    <row r="10" spans="1:32" x14ac:dyDescent="0.25">
      <c r="A10" s="5" t="s">
        <v>22</v>
      </c>
      <c r="B10" s="10">
        <f t="shared" ref="B10" si="3">B8-B9</f>
        <v>4700.5</v>
      </c>
      <c r="C10" s="10">
        <f>C8-C9</f>
        <v>4700.5</v>
      </c>
      <c r="D10" s="10">
        <v>4563</v>
      </c>
      <c r="E10" s="10">
        <v>4563</v>
      </c>
      <c r="F10" s="10">
        <f t="shared" ref="F10:G10" si="4">F8-F9</f>
        <v>4432.6000000000004</v>
      </c>
      <c r="G10" s="10">
        <f t="shared" si="4"/>
        <v>4432.6000000000004</v>
      </c>
      <c r="H10" s="10">
        <f>+H8-H9</f>
        <v>4652.04</v>
      </c>
      <c r="I10" s="10">
        <f>+I8-I9</f>
        <v>4652.04</v>
      </c>
      <c r="J10" s="10">
        <v>4569</v>
      </c>
      <c r="K10" s="10">
        <v>4569</v>
      </c>
      <c r="L10" s="10">
        <f t="shared" ref="L10:AE10" si="5">L8-L9</f>
        <v>4438.6000000000004</v>
      </c>
      <c r="M10" s="10">
        <f t="shared" si="5"/>
        <v>4438.6000000000004</v>
      </c>
      <c r="N10" s="10">
        <f t="shared" si="5"/>
        <v>4341.6000000000004</v>
      </c>
      <c r="O10" s="10">
        <f t="shared" si="5"/>
        <v>4341.6000000000004</v>
      </c>
      <c r="P10" s="10">
        <f t="shared" si="5"/>
        <v>4536.6000000000004</v>
      </c>
      <c r="Q10" s="10">
        <f t="shared" si="5"/>
        <v>4536.6000000000004</v>
      </c>
      <c r="R10" s="10">
        <f t="shared" si="5"/>
        <v>4374.5600000000004</v>
      </c>
      <c r="S10" s="10">
        <f t="shared" si="5"/>
        <v>4374.5600000000004</v>
      </c>
      <c r="T10" s="10">
        <f t="shared" si="5"/>
        <v>4282.6000000000004</v>
      </c>
      <c r="U10" s="10">
        <f t="shared" si="5"/>
        <v>4282.6000000000004</v>
      </c>
      <c r="V10" s="10">
        <f t="shared" si="5"/>
        <v>4213.6000000000004</v>
      </c>
      <c r="W10" s="10">
        <f t="shared" si="5"/>
        <v>4213.6000000000004</v>
      </c>
      <c r="X10" s="10">
        <f t="shared" si="5"/>
        <v>4227.6000000000004</v>
      </c>
      <c r="Y10" s="11">
        <f t="shared" si="5"/>
        <v>4227.6000000000004</v>
      </c>
      <c r="Z10" s="10">
        <f t="shared" si="5"/>
        <v>3622</v>
      </c>
      <c r="AA10" s="11">
        <f t="shared" si="5"/>
        <v>3622</v>
      </c>
      <c r="AB10" s="10">
        <f t="shared" si="5"/>
        <v>3568.6</v>
      </c>
      <c r="AC10" s="11">
        <f t="shared" si="5"/>
        <v>3568.6</v>
      </c>
      <c r="AD10" s="10">
        <f t="shared" si="5"/>
        <v>3511.6</v>
      </c>
      <c r="AE10" s="11">
        <f t="shared" si="5"/>
        <v>3511.6</v>
      </c>
      <c r="AF10" s="11">
        <f>+AF8-AF9</f>
        <v>3522.6</v>
      </c>
    </row>
    <row r="11" spans="1:32" x14ac:dyDescent="0.25">
      <c r="A11" s="5"/>
      <c r="B11" s="15"/>
      <c r="C11" s="15"/>
      <c r="D11" s="15"/>
      <c r="E11" s="15"/>
      <c r="F11" s="15"/>
      <c r="G11" s="15"/>
      <c r="H11" s="15"/>
      <c r="I11" s="15"/>
      <c r="J11" s="15"/>
      <c r="K11" s="17"/>
      <c r="L11" s="10"/>
      <c r="M11" s="15"/>
      <c r="N11" s="17"/>
      <c r="O11" s="10"/>
      <c r="P11" s="15"/>
      <c r="Q11" s="17"/>
      <c r="R11" s="10"/>
      <c r="S11" s="17"/>
      <c r="T11" s="11"/>
      <c r="U11" s="11"/>
      <c r="V11" s="11"/>
      <c r="W11" s="11"/>
      <c r="X11" s="10"/>
      <c r="Y11" s="11"/>
      <c r="Z11" s="15"/>
      <c r="AA11" s="17"/>
      <c r="AB11" s="15"/>
      <c r="AC11" s="17"/>
      <c r="AD11" s="10"/>
      <c r="AE11" s="11"/>
      <c r="AF11" s="11"/>
    </row>
    <row r="12" spans="1:32" x14ac:dyDescent="0.25">
      <c r="A12" s="5" t="s">
        <v>23</v>
      </c>
      <c r="B12" s="10">
        <f>(B10+D10)/2</f>
        <v>4631.75</v>
      </c>
      <c r="C12" s="10">
        <f>+(C10+E10)/2</f>
        <v>4631.75</v>
      </c>
      <c r="D12" s="10">
        <v>4549.2133333333331</v>
      </c>
      <c r="E12" s="10">
        <v>4497.8</v>
      </c>
      <c r="F12" s="10">
        <f>(F10+H10)/2</f>
        <v>4542.32</v>
      </c>
      <c r="G12" s="10">
        <f>+(G10+I10)/2</f>
        <v>4542.32</v>
      </c>
      <c r="H12" s="10">
        <f>(H10+P10+N10+L10+J10)/5</f>
        <v>4507.5680000000002</v>
      </c>
      <c r="I12" s="10">
        <f>(I10+K10)/2</f>
        <v>4610.5200000000004</v>
      </c>
      <c r="J12" s="10">
        <v>4471.4500000000007</v>
      </c>
      <c r="K12" s="11">
        <v>4503.8</v>
      </c>
      <c r="L12" s="10">
        <f>+(L10+N10+P10)/3</f>
        <v>4438.9333333333334</v>
      </c>
      <c r="M12" s="10">
        <f>+(M10+O10)/2</f>
        <v>4390.1000000000004</v>
      </c>
      <c r="N12" s="11">
        <f>(N10+P10)/2</f>
        <v>4439.1000000000004</v>
      </c>
      <c r="O12" s="10">
        <f>+(O10+Q10)/2</f>
        <v>4439.1000000000004</v>
      </c>
      <c r="P12" s="10">
        <f>(P10+X10+V10+T10+R10)/5</f>
        <v>4326.9920000000002</v>
      </c>
      <c r="Q12" s="11">
        <f>(Q10+S10)/2</f>
        <v>4455.58</v>
      </c>
      <c r="R12" s="10">
        <f>+(R10+T10+V10+X10)/4</f>
        <v>4274.59</v>
      </c>
      <c r="S12" s="11">
        <f>+(S10+U10)/2</f>
        <v>4328.58</v>
      </c>
      <c r="T12" s="11">
        <f>+(T10+V10+X10)/3</f>
        <v>4241.2666666666673</v>
      </c>
      <c r="U12" s="11">
        <f>+(U10+W10)/2</f>
        <v>4248.1000000000004</v>
      </c>
      <c r="V12" s="11">
        <f>(V10+X10)/2</f>
        <v>4220.6000000000004</v>
      </c>
      <c r="W12" s="11">
        <f>+(W10+Y10)/2</f>
        <v>4220.6000000000004</v>
      </c>
      <c r="X12" s="10">
        <f>(+X10+Z10+AB10+AD10+AF10)/5</f>
        <v>3690.4800000000005</v>
      </c>
      <c r="Y12" s="11">
        <f>(Y10+AA10)/2</f>
        <v>3924.8</v>
      </c>
      <c r="Z12" s="10">
        <f>(Z10+AD10+AB10+AF10)/4</f>
        <v>3556.2000000000003</v>
      </c>
      <c r="AA12" s="11">
        <f>(AA10+AC10)/2</f>
        <v>3595.3</v>
      </c>
      <c r="AB12" s="10">
        <f>(AB10+AF10+AD10)/3</f>
        <v>3534.2666666666664</v>
      </c>
      <c r="AC12" s="11">
        <f>(AC10+AE10)/2</f>
        <v>3540.1</v>
      </c>
      <c r="AD12" s="10">
        <f>(AD10+AF10)/2</f>
        <v>3517.1</v>
      </c>
      <c r="AE12" s="11">
        <f>(AE10+AF10)/2</f>
        <v>3517.1</v>
      </c>
      <c r="AF12" s="11">
        <f>+(3819+3695+3651+3580+3565-(299.4*5))/5</f>
        <v>3362.6</v>
      </c>
    </row>
    <row r="13" spans="1:32" x14ac:dyDescent="0.25">
      <c r="A13" s="5"/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5"/>
      <c r="M13" s="10"/>
      <c r="N13" s="11"/>
      <c r="O13" s="15"/>
      <c r="P13" s="10"/>
      <c r="Q13" s="11"/>
      <c r="R13" s="15"/>
      <c r="S13" s="17"/>
      <c r="T13" s="11"/>
      <c r="U13" s="11"/>
      <c r="V13" s="11"/>
      <c r="W13" s="11"/>
      <c r="X13" s="10"/>
      <c r="Y13" s="11"/>
      <c r="Z13" s="15"/>
      <c r="AA13" s="17"/>
      <c r="AB13" s="15"/>
      <c r="AC13" s="17"/>
      <c r="AD13" s="10"/>
      <c r="AE13" s="11"/>
      <c r="AF13" s="11"/>
    </row>
    <row r="14" spans="1:32" x14ac:dyDescent="0.25">
      <c r="A14" s="5" t="s">
        <v>24</v>
      </c>
      <c r="B14" s="10">
        <f>+B6*4/3</f>
        <v>562</v>
      </c>
      <c r="C14" s="10">
        <f>C6*4</f>
        <v>597.6</v>
      </c>
      <c r="D14" s="10">
        <v>544.20000000000005</v>
      </c>
      <c r="E14" s="10">
        <v>528</v>
      </c>
      <c r="F14" s="10">
        <f>+F6*4</f>
        <v>560</v>
      </c>
      <c r="G14" s="10">
        <f>G6*4</f>
        <v>560</v>
      </c>
      <c r="H14" s="10">
        <f>+H6</f>
        <v>470</v>
      </c>
      <c r="I14" s="10">
        <f>+I6*4</f>
        <v>378</v>
      </c>
      <c r="J14" s="10">
        <v>500.66666666666669</v>
      </c>
      <c r="K14" s="11">
        <v>521.59999999999991</v>
      </c>
      <c r="L14" s="11">
        <f>+L6/2*4</f>
        <v>490.20000000000005</v>
      </c>
      <c r="M14" s="10">
        <f>M6*4</f>
        <v>418.8</v>
      </c>
      <c r="N14" s="11">
        <f>+N6*4</f>
        <v>561.6</v>
      </c>
      <c r="O14" s="11">
        <f>O6*4</f>
        <v>561.6</v>
      </c>
      <c r="P14" s="10">
        <f>P6/4*4</f>
        <v>431.8</v>
      </c>
      <c r="Q14" s="11">
        <f>Q6*4</f>
        <v>657.2</v>
      </c>
      <c r="R14" s="11">
        <f>R6/3*4</f>
        <v>356.66666666666669</v>
      </c>
      <c r="S14" s="11">
        <f>S6*4</f>
        <v>352.40000000000003</v>
      </c>
      <c r="T14" s="11">
        <f>+T6/2*4</f>
        <v>358.79999999999995</v>
      </c>
      <c r="U14" s="11">
        <f>U6*4</f>
        <v>268.39999999999986</v>
      </c>
      <c r="V14" s="11">
        <f>+V6*4</f>
        <v>449.20000000000005</v>
      </c>
      <c r="W14" s="11">
        <f>W6*4</f>
        <v>449.20000000000005</v>
      </c>
      <c r="X14" s="11">
        <f>+X6/4*4</f>
        <v>192.56</v>
      </c>
      <c r="Y14" s="11">
        <f>Y6*4</f>
        <v>48.24</v>
      </c>
      <c r="Z14" s="11">
        <f>+Z6/3*4</f>
        <v>240.66666666666666</v>
      </c>
      <c r="AA14" s="11">
        <f>AA6*4</f>
        <v>218.4</v>
      </c>
      <c r="AB14" s="11">
        <f>+AB6/2*4</f>
        <v>251.8</v>
      </c>
      <c r="AC14" s="11">
        <f>AC6*4</f>
        <v>235.6</v>
      </c>
      <c r="AD14" s="11">
        <f>+AD6*4</f>
        <v>268</v>
      </c>
      <c r="AE14" s="11">
        <f>AE6*4</f>
        <v>268</v>
      </c>
      <c r="AF14" s="11">
        <f>AF6</f>
        <v>328</v>
      </c>
    </row>
    <row r="15" spans="1:32" x14ac:dyDescent="0.25">
      <c r="A15" s="12" t="s">
        <v>25</v>
      </c>
      <c r="B15" s="13">
        <f>B12</f>
        <v>4631.75</v>
      </c>
      <c r="C15" s="13">
        <f>C12</f>
        <v>4631.75</v>
      </c>
      <c r="D15" s="13">
        <v>4549.2133333333331</v>
      </c>
      <c r="E15" s="13">
        <v>4497.8</v>
      </c>
      <c r="F15" s="13">
        <f>F12</f>
        <v>4542.32</v>
      </c>
      <c r="G15" s="13">
        <f>G12</f>
        <v>4542.32</v>
      </c>
      <c r="H15" s="13">
        <f>+H12</f>
        <v>4507.5680000000002</v>
      </c>
      <c r="I15" s="13">
        <f>+I12</f>
        <v>4610.5200000000004</v>
      </c>
      <c r="J15" s="13">
        <v>4471.4500000000007</v>
      </c>
      <c r="K15" s="13">
        <v>4503.8</v>
      </c>
      <c r="L15" s="13">
        <f t="shared" ref="L15:AF15" si="6">L12</f>
        <v>4438.9333333333334</v>
      </c>
      <c r="M15" s="13">
        <f t="shared" si="6"/>
        <v>4390.1000000000004</v>
      </c>
      <c r="N15" s="13">
        <f>N12</f>
        <v>4439.1000000000004</v>
      </c>
      <c r="O15" s="13">
        <f t="shared" si="6"/>
        <v>4439.1000000000004</v>
      </c>
      <c r="P15" s="13">
        <f t="shared" si="6"/>
        <v>4326.9920000000002</v>
      </c>
      <c r="Q15" s="13">
        <f t="shared" si="6"/>
        <v>4455.58</v>
      </c>
      <c r="R15" s="13">
        <f t="shared" si="6"/>
        <v>4274.59</v>
      </c>
      <c r="S15" s="13">
        <f t="shared" si="6"/>
        <v>4328.58</v>
      </c>
      <c r="T15" s="13">
        <f t="shared" si="6"/>
        <v>4241.2666666666673</v>
      </c>
      <c r="U15" s="13">
        <f t="shared" si="6"/>
        <v>4248.1000000000004</v>
      </c>
      <c r="V15" s="13">
        <f t="shared" si="6"/>
        <v>4220.6000000000004</v>
      </c>
      <c r="W15" s="13">
        <f t="shared" si="6"/>
        <v>4220.6000000000004</v>
      </c>
      <c r="X15" s="13">
        <f t="shared" si="6"/>
        <v>3690.4800000000005</v>
      </c>
      <c r="Y15" s="13">
        <f t="shared" si="6"/>
        <v>3924.8</v>
      </c>
      <c r="Z15" s="13">
        <f t="shared" si="6"/>
        <v>3556.2000000000003</v>
      </c>
      <c r="AA15" s="13">
        <f t="shared" si="6"/>
        <v>3595.3</v>
      </c>
      <c r="AB15" s="13">
        <f t="shared" si="6"/>
        <v>3534.2666666666664</v>
      </c>
      <c r="AC15" s="13">
        <f t="shared" si="6"/>
        <v>3540.1</v>
      </c>
      <c r="AD15" s="13">
        <f t="shared" si="6"/>
        <v>3517.1</v>
      </c>
      <c r="AE15" s="13">
        <f t="shared" si="6"/>
        <v>3517.1</v>
      </c>
      <c r="AF15" s="13">
        <f t="shared" si="6"/>
        <v>3362.6</v>
      </c>
    </row>
    <row r="16" spans="1:32" ht="15.75" thickBot="1" x14ac:dyDescent="0.3">
      <c r="A16" s="19" t="s">
        <v>26</v>
      </c>
      <c r="B16" s="20">
        <f>B14/B15</f>
        <v>0.12133642791601447</v>
      </c>
      <c r="C16" s="20">
        <f>C14/C15</f>
        <v>0.1290225076914773</v>
      </c>
      <c r="D16" s="20">
        <v>0.11962507803546989</v>
      </c>
      <c r="E16" s="20">
        <v>0.11739072435412869</v>
      </c>
      <c r="F16" s="20">
        <f>F14/F15</f>
        <v>0.12328501734796317</v>
      </c>
      <c r="G16" s="20">
        <f t="shared" ref="G16" si="7">G14/G15</f>
        <v>0.12328501734796317</v>
      </c>
      <c r="H16" s="20">
        <f>H14/H15</f>
        <v>0.10426908701100016</v>
      </c>
      <c r="I16" s="20">
        <f t="shared" ref="I16:K16" si="8">I14/I15</f>
        <v>8.198641368001873E-2</v>
      </c>
      <c r="J16" s="20">
        <f t="shared" si="8"/>
        <v>0.11196964444792329</v>
      </c>
      <c r="K16" s="20">
        <f t="shared" si="8"/>
        <v>0.1158133132021848</v>
      </c>
      <c r="L16" s="20">
        <f>L14/L15</f>
        <v>0.11043193560014419</v>
      </c>
      <c r="M16" s="20">
        <f>M14/M15</f>
        <v>9.5396460217307119E-2</v>
      </c>
      <c r="N16" s="20">
        <f>N14/N15</f>
        <v>0.1265121308373319</v>
      </c>
      <c r="O16" s="20">
        <f t="shared" ref="O16:AF16" si="9">O14/O15</f>
        <v>0.1265121308373319</v>
      </c>
      <c r="P16" s="20">
        <f t="shared" si="9"/>
        <v>9.9792188199099977E-2</v>
      </c>
      <c r="Q16" s="20">
        <f t="shared" si="9"/>
        <v>0.14750043765345927</v>
      </c>
      <c r="R16" s="20">
        <f t="shared" si="9"/>
        <v>8.3438801538081239E-2</v>
      </c>
      <c r="S16" s="20">
        <f t="shared" si="9"/>
        <v>8.1412380041491678E-2</v>
      </c>
      <c r="T16" s="20">
        <f t="shared" si="9"/>
        <v>8.4597368710605303E-2</v>
      </c>
      <c r="U16" s="20">
        <f t="shared" si="9"/>
        <v>6.3181186883547902E-2</v>
      </c>
      <c r="V16" s="20">
        <f t="shared" si="9"/>
        <v>0.10643036535089798</v>
      </c>
      <c r="W16" s="20">
        <f t="shared" si="9"/>
        <v>0.10643036535089798</v>
      </c>
      <c r="X16" s="20">
        <f t="shared" si="9"/>
        <v>5.2177494526457258E-2</v>
      </c>
      <c r="Y16" s="20">
        <f t="shared" si="9"/>
        <v>1.2291072156543008E-2</v>
      </c>
      <c r="Z16" s="20">
        <f t="shared" si="9"/>
        <v>6.7675233863862164E-2</v>
      </c>
      <c r="AA16" s="20">
        <f t="shared" si="9"/>
        <v>6.0745973910383E-2</v>
      </c>
      <c r="AB16" s="20">
        <f t="shared" si="9"/>
        <v>7.1245331421888561E-2</v>
      </c>
      <c r="AC16" s="20">
        <f t="shared" si="9"/>
        <v>6.655179232225078E-2</v>
      </c>
      <c r="AD16" s="20">
        <f t="shared" si="9"/>
        <v>7.6199141338034182E-2</v>
      </c>
      <c r="AE16" s="20">
        <f t="shared" si="9"/>
        <v>7.6199141338034182E-2</v>
      </c>
      <c r="AF16" s="20">
        <f t="shared" si="9"/>
        <v>9.7543567477547138E-2</v>
      </c>
    </row>
    <row r="17" spans="1:32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3"/>
      <c r="L17" s="22"/>
      <c r="M17" s="22"/>
      <c r="N17" s="23"/>
      <c r="O17" s="22"/>
      <c r="P17" s="22"/>
      <c r="Q17" s="23"/>
      <c r="R17" s="22"/>
      <c r="S17" s="23"/>
      <c r="T17" s="24"/>
      <c r="U17" s="24"/>
      <c r="V17" s="23"/>
      <c r="W17" s="23"/>
      <c r="X17" s="25"/>
      <c r="Y17" s="24"/>
      <c r="Z17" s="22"/>
      <c r="AA17" s="23"/>
      <c r="AB17" s="22"/>
      <c r="AC17" s="23"/>
      <c r="AD17" s="22"/>
      <c r="AE17" s="23"/>
      <c r="AF17" s="23"/>
    </row>
    <row r="19" spans="1:32" x14ac:dyDescent="0.25">
      <c r="A19" t="s">
        <v>27</v>
      </c>
      <c r="B19" s="26">
        <v>0.79900000000000004</v>
      </c>
      <c r="C19" s="26">
        <v>0.79900000000000004</v>
      </c>
      <c r="D19" s="26">
        <v>0.79900000000000004</v>
      </c>
      <c r="E19" s="26">
        <v>0.79900000000000004</v>
      </c>
      <c r="F19" s="26">
        <v>0.79900000000000004</v>
      </c>
      <c r="G19" s="26">
        <v>0.79900000000000004</v>
      </c>
      <c r="H19" s="26">
        <v>0.79900000000000004</v>
      </c>
      <c r="I19" s="26">
        <v>0.79900000000000004</v>
      </c>
      <c r="J19" s="26">
        <v>0.79900000000000004</v>
      </c>
      <c r="K19" s="26">
        <v>0.79900000000000004</v>
      </c>
      <c r="L19" s="26">
        <v>0.79900000000000004</v>
      </c>
      <c r="M19" s="26">
        <v>0.79900000000000004</v>
      </c>
      <c r="N19" s="26">
        <v>0.79900000000000004</v>
      </c>
      <c r="O19" s="26">
        <v>0.79900000000000004</v>
      </c>
      <c r="P19" s="26">
        <v>0.79900000000000004</v>
      </c>
      <c r="Q19" s="26">
        <v>0.79900000000000004</v>
      </c>
      <c r="R19" s="26">
        <v>0.79900000000000004</v>
      </c>
      <c r="S19" s="26">
        <v>0.79900000000000004</v>
      </c>
      <c r="T19" s="26">
        <v>0.79900000000000004</v>
      </c>
      <c r="U19" s="26">
        <v>0.79900000000000004</v>
      </c>
      <c r="V19" s="26">
        <v>0.79900000000000004</v>
      </c>
      <c r="W19" s="26">
        <v>0.79900000000000004</v>
      </c>
      <c r="X19" s="26">
        <v>0.77300000000000002</v>
      </c>
      <c r="Y19" s="26">
        <f>+Z19</f>
        <v>0.76300000000000001</v>
      </c>
      <c r="Z19" s="26">
        <f>+AA19</f>
        <v>0.76300000000000001</v>
      </c>
      <c r="AA19" s="26">
        <f>+AB19</f>
        <v>0.76300000000000001</v>
      </c>
      <c r="AB19" s="26">
        <v>0.76300000000000001</v>
      </c>
      <c r="AC19" s="26">
        <v>0.76300000000000001</v>
      </c>
      <c r="AD19" s="26">
        <v>0.76300000000000001</v>
      </c>
      <c r="AE19" s="26">
        <v>0.76300000000000001</v>
      </c>
      <c r="AF19" s="26">
        <v>0.76400000000000001</v>
      </c>
    </row>
    <row r="20" spans="1:32" x14ac:dyDescent="0.25">
      <c r="A20" t="s">
        <v>28</v>
      </c>
      <c r="B20" s="10"/>
      <c r="C20" s="10"/>
      <c r="D20" s="10"/>
      <c r="E20" s="10"/>
      <c r="F20" s="10"/>
      <c r="G20" s="10"/>
      <c r="H20" s="10">
        <v>25</v>
      </c>
      <c r="I20" s="10">
        <v>25</v>
      </c>
      <c r="J20" s="10">
        <v>25</v>
      </c>
      <c r="K20" s="10">
        <v>25</v>
      </c>
      <c r="L20" s="10">
        <v>25</v>
      </c>
      <c r="M20" s="10">
        <v>25</v>
      </c>
      <c r="N20" s="10">
        <v>25</v>
      </c>
      <c r="O20" s="10">
        <v>25</v>
      </c>
      <c r="P20" s="10">
        <v>22</v>
      </c>
      <c r="Q20" s="10">
        <v>22</v>
      </c>
      <c r="R20" s="10">
        <v>22</v>
      </c>
      <c r="S20" s="10">
        <v>22</v>
      </c>
      <c r="T20" s="10">
        <v>22</v>
      </c>
      <c r="U20" s="10">
        <v>22</v>
      </c>
      <c r="V20" s="10">
        <v>22</v>
      </c>
      <c r="W20" s="11">
        <v>22</v>
      </c>
      <c r="X20" s="10">
        <v>38</v>
      </c>
      <c r="Y20" s="10">
        <v>38</v>
      </c>
      <c r="Z20" s="10">
        <v>38</v>
      </c>
      <c r="AA20" s="10">
        <v>38</v>
      </c>
      <c r="AB20" s="10">
        <v>38</v>
      </c>
      <c r="AC20" s="10">
        <v>38</v>
      </c>
      <c r="AD20" s="10">
        <v>38</v>
      </c>
      <c r="AE20" s="10">
        <v>38</v>
      </c>
      <c r="AF20" s="10">
        <v>439</v>
      </c>
    </row>
    <row r="21" spans="1:32" x14ac:dyDescent="0.25">
      <c r="A21" t="s">
        <v>29</v>
      </c>
      <c r="B21" s="10"/>
      <c r="C21" s="10"/>
      <c r="D21" s="10"/>
      <c r="E21" s="10"/>
      <c r="F21" s="10"/>
      <c r="G21" s="10"/>
      <c r="H21" s="10">
        <v>444</v>
      </c>
      <c r="I21" s="10"/>
      <c r="J21" s="10">
        <v>410</v>
      </c>
      <c r="K21" s="17"/>
      <c r="L21" s="10">
        <v>279</v>
      </c>
      <c r="M21" s="10"/>
      <c r="N21" s="11">
        <v>177</v>
      </c>
      <c r="O21" s="10"/>
      <c r="P21" s="10">
        <v>507</v>
      </c>
      <c r="Q21" s="17"/>
      <c r="R21" s="10">
        <v>343</v>
      </c>
      <c r="S21" s="17"/>
      <c r="T21" s="10">
        <v>251</v>
      </c>
      <c r="U21" s="11"/>
      <c r="V21" s="10">
        <v>182</v>
      </c>
      <c r="W21" s="11"/>
      <c r="X21" s="10">
        <v>161</v>
      </c>
      <c r="Y21" s="11"/>
      <c r="Z21" s="10">
        <v>265</v>
      </c>
      <c r="AA21" s="17"/>
      <c r="AB21" s="10">
        <v>210</v>
      </c>
      <c r="AC21" s="17"/>
      <c r="AD21" s="10">
        <v>152</v>
      </c>
      <c r="AE21" s="17"/>
      <c r="AF21" s="10">
        <v>391</v>
      </c>
    </row>
    <row r="22" spans="1:32" x14ac:dyDescent="0.25">
      <c r="A22" t="s">
        <v>30</v>
      </c>
      <c r="B22" s="10">
        <v>27000130</v>
      </c>
      <c r="C22" s="10">
        <v>27000130</v>
      </c>
      <c r="D22" s="10">
        <v>27000130</v>
      </c>
      <c r="E22" s="10">
        <v>27000130</v>
      </c>
      <c r="F22" s="10">
        <v>27000130</v>
      </c>
      <c r="G22" s="10">
        <v>27000130</v>
      </c>
      <c r="H22" s="10">
        <v>27000130</v>
      </c>
      <c r="I22" s="10">
        <v>27000130</v>
      </c>
      <c r="J22" s="10">
        <v>27000130</v>
      </c>
      <c r="K22" s="10">
        <v>27000130</v>
      </c>
      <c r="L22" s="10">
        <v>27000130</v>
      </c>
      <c r="M22" s="10">
        <v>27000130</v>
      </c>
      <c r="N22" s="10">
        <v>27000130</v>
      </c>
      <c r="O22" s="10">
        <v>27000130</v>
      </c>
      <c r="P22" s="10">
        <v>27000130</v>
      </c>
      <c r="Q22" s="10">
        <v>27000130</v>
      </c>
      <c r="R22" s="10">
        <v>27000130</v>
      </c>
      <c r="S22" s="10">
        <v>27000130</v>
      </c>
      <c r="T22" s="10">
        <v>27000130</v>
      </c>
      <c r="U22" s="10">
        <v>27000130</v>
      </c>
      <c r="V22" s="10">
        <v>27000130</v>
      </c>
      <c r="W22" s="10">
        <v>27000130</v>
      </c>
      <c r="X22" s="10">
        <v>27000130</v>
      </c>
      <c r="Y22" s="10">
        <v>27000130</v>
      </c>
      <c r="Z22" s="10">
        <v>20871427</v>
      </c>
      <c r="AA22" s="10">
        <v>20871427</v>
      </c>
      <c r="AB22" s="10">
        <v>20871427</v>
      </c>
      <c r="AC22" s="10">
        <v>20871427</v>
      </c>
      <c r="AD22" s="10">
        <v>20871427</v>
      </c>
      <c r="AE22" s="10">
        <v>20871427</v>
      </c>
      <c r="AF22" s="10">
        <v>20871427</v>
      </c>
    </row>
    <row r="23" spans="1:32" x14ac:dyDescent="0.25">
      <c r="A23" t="s">
        <v>31</v>
      </c>
      <c r="B23" s="10">
        <f>+B22</f>
        <v>27000130</v>
      </c>
      <c r="C23" s="10">
        <f>+C22</f>
        <v>27000130</v>
      </c>
      <c r="D23" s="10">
        <v>27000130</v>
      </c>
      <c r="E23" s="10">
        <v>27000130</v>
      </c>
      <c r="F23" s="10">
        <f>+F22</f>
        <v>27000130</v>
      </c>
      <c r="G23" s="10">
        <f>+G22</f>
        <v>27000130</v>
      </c>
      <c r="H23" s="10">
        <v>27000130</v>
      </c>
      <c r="I23" s="10">
        <v>27000130</v>
      </c>
      <c r="J23" s="10">
        <v>27000130</v>
      </c>
      <c r="K23" s="10">
        <v>27000130</v>
      </c>
      <c r="L23" s="10">
        <f>+L22</f>
        <v>27000130</v>
      </c>
      <c r="M23" s="10">
        <f>+M22</f>
        <v>27000130</v>
      </c>
      <c r="N23" s="10">
        <f>+N22</f>
        <v>27000130</v>
      </c>
      <c r="O23" s="10">
        <f>+O22</f>
        <v>27000130</v>
      </c>
      <c r="P23" s="10">
        <f>+(P22+R22+T22+V22+X22)/5</f>
        <v>27000130</v>
      </c>
      <c r="Q23" s="10">
        <f>+Q22</f>
        <v>27000130</v>
      </c>
      <c r="R23" s="10">
        <f>+(R22+T22+V22+X22)/4</f>
        <v>27000130</v>
      </c>
      <c r="S23" s="10">
        <f>+S22</f>
        <v>27000130</v>
      </c>
      <c r="T23" s="10">
        <f>+T22</f>
        <v>27000130</v>
      </c>
      <c r="U23" s="10">
        <f>+U22</f>
        <v>27000130</v>
      </c>
      <c r="V23" s="10">
        <f>+V22</f>
        <v>27000130</v>
      </c>
      <c r="W23" s="10">
        <f>+W22</f>
        <v>27000130</v>
      </c>
      <c r="X23" s="10">
        <f>+(X22+Z22+AB22+AD22+AF22)/5</f>
        <v>22097167.600000001</v>
      </c>
      <c r="Y23" s="10">
        <f>+(Y22+AA22)/2</f>
        <v>23935778.5</v>
      </c>
      <c r="Z23" s="10">
        <f>+(Z22+AB22+AD22+AF22)/4</f>
        <v>20871427</v>
      </c>
      <c r="AA23" s="10">
        <f>+(AA22+AC22)/2</f>
        <v>20871427</v>
      </c>
      <c r="AB23" s="10">
        <f>+(AB22+AD22+AF22)/3</f>
        <v>20871427</v>
      </c>
      <c r="AC23" s="10">
        <f>+(AC22+AE22)/2</f>
        <v>20871427</v>
      </c>
      <c r="AD23" s="10">
        <f>+(AD22+AF22)/2</f>
        <v>20871427</v>
      </c>
      <c r="AE23" s="10">
        <f>+(AE22+AF22)/2</f>
        <v>20871427</v>
      </c>
      <c r="AF23" s="10">
        <v>20871427</v>
      </c>
    </row>
    <row r="24" spans="1:32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7"/>
      <c r="L24" s="15"/>
      <c r="M24" s="15"/>
      <c r="N24" s="11"/>
      <c r="O24" s="15"/>
      <c r="P24" s="15"/>
      <c r="Q24" s="17"/>
      <c r="R24" s="15"/>
      <c r="S24" s="17"/>
      <c r="T24" s="11"/>
      <c r="U24" s="11"/>
      <c r="V24" s="17"/>
      <c r="W24" s="17"/>
      <c r="X24" s="10"/>
      <c r="Y24" s="11"/>
      <c r="Z24" s="15"/>
      <c r="AA24" s="17"/>
      <c r="AB24" s="15"/>
      <c r="AC24" s="17"/>
      <c r="AD24" s="15"/>
      <c r="AE24" s="17"/>
      <c r="AF24" s="17"/>
    </row>
    <row r="25" spans="1:32" x14ac:dyDescent="0.25">
      <c r="A25" t="s">
        <v>22</v>
      </c>
      <c r="B25" s="10">
        <f>+B10</f>
        <v>4700.5</v>
      </c>
      <c r="C25" s="10"/>
      <c r="D25" s="10">
        <v>4563</v>
      </c>
      <c r="E25" s="10"/>
      <c r="F25" s="10">
        <f>+F10</f>
        <v>4432.6000000000004</v>
      </c>
      <c r="G25" s="10"/>
      <c r="H25" s="10">
        <v>4652.04</v>
      </c>
      <c r="I25" s="10"/>
      <c r="J25" s="10">
        <v>4569</v>
      </c>
      <c r="K25" s="17"/>
      <c r="L25" s="10">
        <f>+L10</f>
        <v>4438.6000000000004</v>
      </c>
      <c r="M25" s="10"/>
      <c r="N25" s="11">
        <f>+N10</f>
        <v>4341.6000000000004</v>
      </c>
      <c r="O25" s="10"/>
      <c r="P25" s="10">
        <f>P10</f>
        <v>4536.6000000000004</v>
      </c>
      <c r="Q25" s="17"/>
      <c r="R25" s="10">
        <f>+R10</f>
        <v>4374.5600000000004</v>
      </c>
      <c r="S25" s="17"/>
      <c r="T25" s="11">
        <f>+T10</f>
        <v>4282.6000000000004</v>
      </c>
      <c r="U25" s="11"/>
      <c r="V25" s="11">
        <f>+V10</f>
        <v>4213.6000000000004</v>
      </c>
      <c r="W25" s="17"/>
      <c r="X25" s="10">
        <f>+X10</f>
        <v>4227.6000000000004</v>
      </c>
      <c r="Y25" s="11"/>
      <c r="Z25" s="10">
        <f>+Z10</f>
        <v>3622</v>
      </c>
      <c r="AA25" s="10"/>
      <c r="AB25" s="10">
        <f>+AB10</f>
        <v>3568.6</v>
      </c>
      <c r="AC25" s="10"/>
      <c r="AD25" s="10">
        <f>+AD10</f>
        <v>3511.6</v>
      </c>
      <c r="AE25" s="10"/>
      <c r="AF25" s="10">
        <f>+AF10</f>
        <v>3522.6</v>
      </c>
    </row>
    <row r="26" spans="1:32" x14ac:dyDescent="0.25">
      <c r="A26" s="9" t="s">
        <v>32</v>
      </c>
      <c r="B26" s="10"/>
      <c r="C26" s="10"/>
      <c r="D26" s="10">
        <v>0</v>
      </c>
      <c r="E26" s="10"/>
      <c r="F26" s="10">
        <v>0</v>
      </c>
      <c r="G26" s="10"/>
      <c r="H26" s="10">
        <v>0</v>
      </c>
      <c r="I26" s="10"/>
      <c r="J26" s="10">
        <v>3</v>
      </c>
      <c r="K26" s="17"/>
      <c r="L26" s="10">
        <v>3</v>
      </c>
      <c r="M26" s="10"/>
      <c r="N26" s="11">
        <v>3</v>
      </c>
      <c r="O26" s="10"/>
      <c r="P26" s="10">
        <v>3</v>
      </c>
      <c r="Q26" s="17"/>
      <c r="R26" s="10">
        <v>3</v>
      </c>
      <c r="S26" s="17"/>
      <c r="T26" s="10">
        <v>3</v>
      </c>
      <c r="U26" s="11"/>
      <c r="V26" s="10">
        <v>3</v>
      </c>
      <c r="W26" s="17"/>
      <c r="X26" s="10">
        <v>3</v>
      </c>
      <c r="Y26" s="11"/>
      <c r="Z26" s="10">
        <v>3</v>
      </c>
      <c r="AA26" s="17"/>
      <c r="AB26" s="10">
        <v>3</v>
      </c>
      <c r="AC26" s="17"/>
      <c r="AD26" s="10">
        <v>3</v>
      </c>
      <c r="AE26" s="17"/>
      <c r="AF26" s="10">
        <v>3</v>
      </c>
    </row>
    <row r="27" spans="1:32" x14ac:dyDescent="0.25">
      <c r="A27" t="s">
        <v>33</v>
      </c>
      <c r="B27" s="10">
        <v>25</v>
      </c>
      <c r="C27" s="10"/>
      <c r="D27" s="10">
        <v>27</v>
      </c>
      <c r="E27" s="10"/>
      <c r="F27" s="10">
        <v>30</v>
      </c>
      <c r="G27" s="10"/>
      <c r="H27" s="10">
        <v>28</v>
      </c>
      <c r="I27" s="10"/>
      <c r="J27" s="10">
        <v>30</v>
      </c>
      <c r="K27" s="17"/>
      <c r="L27" s="10">
        <v>31</v>
      </c>
      <c r="M27" s="10"/>
      <c r="N27" s="11">
        <v>32</v>
      </c>
      <c r="O27" s="10"/>
      <c r="P27" s="10">
        <v>16</v>
      </c>
      <c r="Q27" s="17"/>
      <c r="R27" s="10">
        <v>18</v>
      </c>
      <c r="S27" s="17"/>
      <c r="T27" s="10">
        <v>18</v>
      </c>
      <c r="U27" s="11"/>
      <c r="V27" s="10">
        <v>20</v>
      </c>
      <c r="W27" s="17"/>
      <c r="X27" s="10">
        <v>30</v>
      </c>
      <c r="Y27" s="11"/>
      <c r="Z27" s="10">
        <v>29</v>
      </c>
      <c r="AA27" s="17"/>
      <c r="AB27" s="10">
        <v>31</v>
      </c>
      <c r="AC27" s="17"/>
      <c r="AD27" s="10">
        <v>32</v>
      </c>
      <c r="AE27" s="17"/>
      <c r="AF27" s="10">
        <v>34</v>
      </c>
    </row>
    <row r="28" spans="1:32" x14ac:dyDescent="0.25">
      <c r="A28" t="s">
        <v>34</v>
      </c>
      <c r="B28" s="10">
        <v>824</v>
      </c>
      <c r="C28" s="10"/>
      <c r="D28" s="10">
        <v>824</v>
      </c>
      <c r="E28" s="10"/>
      <c r="F28" s="10">
        <v>824</v>
      </c>
      <c r="G28" s="10"/>
      <c r="H28" s="10">
        <v>800</v>
      </c>
      <c r="I28" s="10"/>
      <c r="J28" s="10">
        <v>800</v>
      </c>
      <c r="K28" s="17"/>
      <c r="L28" s="10">
        <v>800</v>
      </c>
      <c r="M28" s="10"/>
      <c r="N28" s="11">
        <v>800</v>
      </c>
      <c r="O28" s="10"/>
      <c r="P28" s="10">
        <v>777</v>
      </c>
      <c r="Q28" s="17"/>
      <c r="R28" s="10">
        <v>777</v>
      </c>
      <c r="S28" s="17"/>
      <c r="T28" s="10">
        <v>777</v>
      </c>
      <c r="U28" s="11"/>
      <c r="V28" s="10">
        <v>777</v>
      </c>
      <c r="W28" s="17"/>
      <c r="X28" s="10">
        <v>777</v>
      </c>
      <c r="Y28" s="11"/>
      <c r="Z28" s="10">
        <v>753</v>
      </c>
      <c r="AA28" s="17"/>
      <c r="AB28" s="10">
        <v>753</v>
      </c>
      <c r="AC28" s="17"/>
      <c r="AD28" s="10">
        <v>753</v>
      </c>
      <c r="AE28" s="17"/>
      <c r="AF28" s="10">
        <v>607</v>
      </c>
    </row>
    <row r="29" spans="1:32" x14ac:dyDescent="0.25">
      <c r="A29" t="s">
        <v>35</v>
      </c>
      <c r="B29" s="10">
        <v>3.5992775856600048</v>
      </c>
      <c r="C29" s="10"/>
      <c r="D29" s="10">
        <v>3.6179999999999994</v>
      </c>
      <c r="E29" s="10"/>
      <c r="F29" s="10">
        <v>3.5992775856600048</v>
      </c>
      <c r="G29" s="10"/>
      <c r="H29" s="10">
        <v>4.9788219906599931</v>
      </c>
      <c r="I29" s="10"/>
      <c r="J29" s="10">
        <v>5.0249999999999986</v>
      </c>
      <c r="K29" s="17"/>
      <c r="L29" s="10">
        <f>+L20*(1-L19)</f>
        <v>5.0249999999999986</v>
      </c>
      <c r="M29" s="10"/>
      <c r="N29" s="10">
        <f>+N20*(1-N19)</f>
        <v>5.0249999999999986</v>
      </c>
      <c r="O29" s="10"/>
      <c r="P29" s="10">
        <f>+P20*(1-P19)</f>
        <v>4.4219999999999988</v>
      </c>
      <c r="Q29" s="17"/>
      <c r="R29" s="10">
        <f>+R20*(1-R19)</f>
        <v>4.4219999999999988</v>
      </c>
      <c r="S29" s="17"/>
      <c r="T29" s="10">
        <f>+T20*(1-T19)</f>
        <v>4.4219999999999988</v>
      </c>
      <c r="U29" s="11"/>
      <c r="V29" s="10">
        <f>+V20*(1-V19)</f>
        <v>4.4219999999999988</v>
      </c>
      <c r="W29" s="17"/>
      <c r="X29" s="10">
        <f>+X20*(1-X19)</f>
        <v>8.6259999999999994</v>
      </c>
      <c r="Y29" s="11"/>
      <c r="Z29" s="10">
        <f>+Z20*(1-Z19)</f>
        <v>9.0060000000000002</v>
      </c>
      <c r="AA29" s="17"/>
      <c r="AB29" s="10">
        <f>+AB20*(1-AB19)</f>
        <v>9.0060000000000002</v>
      </c>
      <c r="AC29" s="10"/>
      <c r="AD29" s="10">
        <f>+AD20*(1-AD19)</f>
        <v>9.0060000000000002</v>
      </c>
      <c r="AE29" s="17"/>
      <c r="AF29" s="10">
        <f>+AF20*(1-AF19)</f>
        <v>103.604</v>
      </c>
    </row>
    <row r="30" spans="1:32" x14ac:dyDescent="0.25">
      <c r="A30" s="27" t="s">
        <v>36</v>
      </c>
      <c r="B30" s="13">
        <v>85.528058587290133</v>
      </c>
      <c r="C30" s="13"/>
      <c r="D30" s="13">
        <v>56.480999999999987</v>
      </c>
      <c r="E30" s="13"/>
      <c r="F30" s="13">
        <v>30.902751064170069</v>
      </c>
      <c r="G30" s="13"/>
      <c r="H30" s="13">
        <v>95.885144367240116</v>
      </c>
      <c r="I30" s="13"/>
      <c r="J30" s="13">
        <v>82.409999999999982</v>
      </c>
      <c r="K30" s="13"/>
      <c r="L30" s="13">
        <f>+L21*(1-L19)</f>
        <v>56.078999999999986</v>
      </c>
      <c r="M30" s="13"/>
      <c r="N30" s="13">
        <f>+N21*(1-N19)</f>
        <v>35.576999999999991</v>
      </c>
      <c r="O30" s="13"/>
      <c r="P30" s="13">
        <f>+P21*(1-P19)</f>
        <v>101.90699999999998</v>
      </c>
      <c r="Q30" s="13"/>
      <c r="R30" s="13">
        <f>+R21*(1-R19)</f>
        <v>68.942999999999984</v>
      </c>
      <c r="S30" s="13"/>
      <c r="T30" s="13">
        <f>+T21*(1-T19)</f>
        <v>50.450999999999986</v>
      </c>
      <c r="U30" s="13"/>
      <c r="V30" s="13">
        <f>+V21*(1-V19)</f>
        <v>36.581999999999994</v>
      </c>
      <c r="W30" s="13"/>
      <c r="X30" s="13">
        <f>+X21*(1-X19)</f>
        <v>36.546999999999997</v>
      </c>
      <c r="Y30" s="13"/>
      <c r="Z30" s="13">
        <f>+Z21*(1-Z19)</f>
        <v>62.805</v>
      </c>
      <c r="AA30" s="13"/>
      <c r="AB30" s="13">
        <f>+AB21*(1-AB19)</f>
        <v>49.769999999999996</v>
      </c>
      <c r="AC30" s="13"/>
      <c r="AD30" s="13">
        <f>+AD21*(1-AD19)</f>
        <v>36.024000000000001</v>
      </c>
      <c r="AE30" s="13"/>
      <c r="AF30" s="13">
        <f>+AF21*(1-AF19)</f>
        <v>92.275999999999996</v>
      </c>
    </row>
    <row r="31" spans="1:32" x14ac:dyDescent="0.25">
      <c r="A31" t="s">
        <v>37</v>
      </c>
      <c r="B31" s="10">
        <f>B25-B26-B27-B28-B29-B30</f>
        <v>3762.37266382705</v>
      </c>
      <c r="C31" s="10"/>
      <c r="D31" s="10">
        <v>3651.9010000000003</v>
      </c>
      <c r="E31" s="10"/>
      <c r="F31" s="10">
        <f>F25-F26-F27-F28-F29-F30</f>
        <v>3544.0979713501706</v>
      </c>
      <c r="G31" s="10"/>
      <c r="H31" s="10">
        <f>H25-H26-H27-H28-H29-H30</f>
        <v>3723.1760336420998</v>
      </c>
      <c r="I31" s="10"/>
      <c r="J31" s="10">
        <v>3648.5650000000001</v>
      </c>
      <c r="K31" s="17"/>
      <c r="L31" s="10">
        <f>L25-L26-L27-L28-L29-L30</f>
        <v>3543.4960000000001</v>
      </c>
      <c r="M31" s="10"/>
      <c r="N31" s="11">
        <f>N25-N26-N27-N28-N29-N30</f>
        <v>3465.9980000000005</v>
      </c>
      <c r="O31" s="10"/>
      <c r="P31" s="10">
        <f>P25-P26-P27-P28-P29-P30</f>
        <v>3634.2710000000002</v>
      </c>
      <c r="Q31" s="17"/>
      <c r="R31" s="10">
        <f>R25-R26-R27-R28-R29-R30</f>
        <v>3503.1950000000006</v>
      </c>
      <c r="S31" s="17"/>
      <c r="T31" s="10">
        <f>T25-T26-T27-T28-T29-T30</f>
        <v>3429.7270000000003</v>
      </c>
      <c r="U31" s="11"/>
      <c r="V31" s="10">
        <f>V25-V26-V27-V28-V29-V30</f>
        <v>3372.5960000000005</v>
      </c>
      <c r="W31" s="17"/>
      <c r="X31" s="10">
        <f>X25-X26-X27-X28-X29-X30</f>
        <v>3372.4270000000001</v>
      </c>
      <c r="Y31" s="11"/>
      <c r="Z31" s="10">
        <f>Z25-Z26-Z27-Z28-Z29-Z30</f>
        <v>2765.1890000000003</v>
      </c>
      <c r="AA31" s="17"/>
      <c r="AB31" s="10">
        <f>AB25-AB26-AB27-AB28-AB29-AB30</f>
        <v>2722.8240000000001</v>
      </c>
      <c r="AC31" s="17"/>
      <c r="AD31" s="10">
        <f>AD25-AD26-AD27-AD28-AD29-AD30</f>
        <v>2678.57</v>
      </c>
      <c r="AE31" s="17"/>
      <c r="AF31" s="10">
        <f>AF25-AF26-AF27-AF28-AF29-AF30</f>
        <v>2682.7200000000003</v>
      </c>
    </row>
    <row r="32" spans="1:32" x14ac:dyDescent="0.25">
      <c r="A32" s="27" t="s">
        <v>38</v>
      </c>
      <c r="B32" s="13">
        <f>+B23</f>
        <v>27000130</v>
      </c>
      <c r="C32" s="13"/>
      <c r="D32" s="13">
        <v>27000130</v>
      </c>
      <c r="E32" s="13"/>
      <c r="F32" s="13">
        <f>+F23</f>
        <v>27000130</v>
      </c>
      <c r="G32" s="13"/>
      <c r="H32" s="13">
        <f>+H22</f>
        <v>27000130</v>
      </c>
      <c r="I32" s="13"/>
      <c r="J32" s="13">
        <v>27000130</v>
      </c>
      <c r="K32" s="28"/>
      <c r="L32" s="13">
        <f>+L23</f>
        <v>27000130</v>
      </c>
      <c r="M32" s="13"/>
      <c r="N32" s="13">
        <f>+N23</f>
        <v>27000130</v>
      </c>
      <c r="O32" s="13"/>
      <c r="P32" s="13">
        <f>+P23</f>
        <v>27000130</v>
      </c>
      <c r="Q32" s="28"/>
      <c r="R32" s="13">
        <f>+R23</f>
        <v>27000130</v>
      </c>
      <c r="S32" s="28"/>
      <c r="T32" s="13">
        <f>+T23</f>
        <v>27000130</v>
      </c>
      <c r="U32" s="28"/>
      <c r="V32" s="13">
        <f>+V23</f>
        <v>27000130</v>
      </c>
      <c r="W32" s="28"/>
      <c r="X32" s="13">
        <f>+X23</f>
        <v>22097167.600000001</v>
      </c>
      <c r="Y32" s="28"/>
      <c r="Z32" s="13">
        <f>+Z23</f>
        <v>20871427</v>
      </c>
      <c r="AA32" s="28"/>
      <c r="AB32" s="13">
        <f>+AB23</f>
        <v>20871427</v>
      </c>
      <c r="AC32" s="28"/>
      <c r="AD32" s="13">
        <f>+AD23</f>
        <v>20871427</v>
      </c>
      <c r="AE32" s="28"/>
      <c r="AF32" s="13">
        <f>+AF23</f>
        <v>20871427</v>
      </c>
    </row>
    <row r="33" spans="1:32" s="31" customFormat="1" ht="15.75" thickBot="1" x14ac:dyDescent="0.3">
      <c r="A33" s="29" t="s">
        <v>39</v>
      </c>
      <c r="B33" s="30">
        <f t="shared" ref="B33" si="10">B31*1000000/B32</f>
        <v>139.34646476987518</v>
      </c>
      <c r="C33" s="30"/>
      <c r="D33" s="30">
        <v>135.25494136509715</v>
      </c>
      <c r="E33" s="30"/>
      <c r="F33" s="30">
        <f>F31*1000000/F32</f>
        <v>131.26225582433014</v>
      </c>
      <c r="G33" s="30"/>
      <c r="H33" s="30">
        <f>H31*1000000/H32</f>
        <v>137.89474471575136</v>
      </c>
      <c r="I33" s="30"/>
      <c r="J33" s="30">
        <v>135.13138640443583</v>
      </c>
      <c r="K33" s="30"/>
      <c r="L33" s="30">
        <f>L31*1000000/L32</f>
        <v>131.23996069648553</v>
      </c>
      <c r="M33" s="30"/>
      <c r="N33" s="30">
        <f>N31*1000000/N32</f>
        <v>128.36967822006784</v>
      </c>
      <c r="O33" s="30"/>
      <c r="P33" s="30">
        <f>P31*1000000/P32</f>
        <v>134.60198154601477</v>
      </c>
      <c r="Q33" s="30"/>
      <c r="R33" s="30">
        <f>R31*1000000/R32</f>
        <v>129.74733825355656</v>
      </c>
      <c r="S33" s="30"/>
      <c r="T33" s="30">
        <f>T31*1000000/T32</f>
        <v>127.0263143177459</v>
      </c>
      <c r="U33" s="30"/>
      <c r="V33" s="30">
        <f>V31*1000000/V32</f>
        <v>124.9103615427037</v>
      </c>
      <c r="W33" s="30"/>
      <c r="X33" s="30">
        <f>X31*1000000/X32</f>
        <v>152.61806676073724</v>
      </c>
      <c r="Y33" s="30"/>
      <c r="Z33" s="30">
        <f>Z31*1000000/Z32</f>
        <v>132.48682037888452</v>
      </c>
      <c r="AA33" s="30"/>
      <c r="AB33" s="30">
        <f>AB31*1000000/AB32</f>
        <v>130.45701187561349</v>
      </c>
      <c r="AC33" s="30"/>
      <c r="AD33" s="30">
        <f>AD31*1000000/AD32</f>
        <v>128.33669686313254</v>
      </c>
      <c r="AE33" s="30"/>
      <c r="AF33" s="30">
        <f>AF31*1000000/AF32</f>
        <v>128.53553329151862</v>
      </c>
    </row>
    <row r="34" spans="1:32" x14ac:dyDescent="0.25">
      <c r="B34" s="32"/>
      <c r="C34" s="32"/>
      <c r="D34" s="32"/>
      <c r="E34" s="32"/>
      <c r="F34" s="32"/>
      <c r="G34" s="32"/>
      <c r="H34" s="32"/>
      <c r="I34" s="32"/>
      <c r="J34" s="32"/>
      <c r="L34" s="32"/>
      <c r="M34" s="32"/>
      <c r="O34" s="32"/>
      <c r="P34" s="32"/>
      <c r="R34" s="32"/>
      <c r="V34" s="8"/>
      <c r="X34" s="33"/>
      <c r="Z34" s="32"/>
      <c r="AB34" s="32"/>
    </row>
    <row r="35" spans="1:32" x14ac:dyDescent="0.25">
      <c r="A35" s="34"/>
      <c r="V35" s="8"/>
    </row>
    <row r="36" spans="1:32" x14ac:dyDescent="0.25">
      <c r="A36" t="s">
        <v>40</v>
      </c>
      <c r="B36" s="10">
        <f>B6*B19</f>
        <v>336.77850000000001</v>
      </c>
      <c r="C36" s="10">
        <f t="shared" ref="C36" si="11">C6*C19</f>
        <v>119.37060000000001</v>
      </c>
      <c r="D36" s="10">
        <v>217.40790000000004</v>
      </c>
      <c r="E36" s="10">
        <v>105.468</v>
      </c>
      <c r="F36" s="10">
        <f>F6*F19</f>
        <v>111.86</v>
      </c>
      <c r="G36" s="10">
        <f t="shared" ref="G36" si="12">G6*G19</f>
        <v>111.86</v>
      </c>
      <c r="H36" s="10">
        <f>H6*H19</f>
        <v>375.53000000000003</v>
      </c>
      <c r="I36" s="10">
        <f t="shared" ref="I36" si="13">I6*I19</f>
        <v>75.505499999999998</v>
      </c>
      <c r="J36" s="10">
        <f>J6*J19</f>
        <v>300.02449999999999</v>
      </c>
      <c r="K36" s="10">
        <f>K6*K19</f>
        <v>104.18959999999998</v>
      </c>
      <c r="L36" s="10">
        <f>L6*L19</f>
        <v>195.83490000000003</v>
      </c>
      <c r="M36" s="10">
        <f t="shared" ref="M36:AF36" si="14">M6*M19</f>
        <v>83.655300000000011</v>
      </c>
      <c r="N36" s="10">
        <f t="shared" si="14"/>
        <v>112.17960000000001</v>
      </c>
      <c r="O36" s="10">
        <f t="shared" si="14"/>
        <v>112.17960000000001</v>
      </c>
      <c r="P36" s="10">
        <f t="shared" si="14"/>
        <v>345.00820000000004</v>
      </c>
      <c r="Q36" s="10">
        <f t="shared" si="14"/>
        <v>131.27570000000003</v>
      </c>
      <c r="R36" s="10">
        <f t="shared" si="14"/>
        <v>213.73250000000002</v>
      </c>
      <c r="S36" s="10">
        <f t="shared" si="14"/>
        <v>70.391900000000007</v>
      </c>
      <c r="T36" s="10">
        <f t="shared" si="14"/>
        <v>143.34059999999999</v>
      </c>
      <c r="U36" s="10">
        <f t="shared" si="14"/>
        <v>53.612899999999975</v>
      </c>
      <c r="V36" s="10">
        <f t="shared" si="14"/>
        <v>89.727700000000013</v>
      </c>
      <c r="W36" s="10">
        <f t="shared" si="14"/>
        <v>89.727700000000013</v>
      </c>
      <c r="X36" s="10">
        <f t="shared" si="14"/>
        <v>148.84888000000001</v>
      </c>
      <c r="Y36" s="10">
        <f t="shared" si="14"/>
        <v>9.2017800000000012</v>
      </c>
      <c r="Z36" s="10">
        <f t="shared" si="14"/>
        <v>137.72149999999999</v>
      </c>
      <c r="AA36" s="10">
        <f t="shared" si="14"/>
        <v>41.659800000000004</v>
      </c>
      <c r="AB36" s="10">
        <f t="shared" si="14"/>
        <v>96.061700000000002</v>
      </c>
      <c r="AC36" s="10">
        <f t="shared" si="14"/>
        <v>44.9407</v>
      </c>
      <c r="AD36" s="10">
        <f t="shared" si="14"/>
        <v>51.121000000000002</v>
      </c>
      <c r="AE36" s="10">
        <f t="shared" si="14"/>
        <v>51.121000000000002</v>
      </c>
      <c r="AF36" s="10">
        <f t="shared" si="14"/>
        <v>250.59200000000001</v>
      </c>
    </row>
    <row r="37" spans="1:32" x14ac:dyDescent="0.25">
      <c r="A37" s="27" t="s">
        <v>41</v>
      </c>
      <c r="B37" s="35">
        <f t="shared" ref="B37:C37" si="15">+B22</f>
        <v>27000130</v>
      </c>
      <c r="C37" s="35">
        <f t="shared" si="15"/>
        <v>27000130</v>
      </c>
      <c r="D37" s="35">
        <v>27000130</v>
      </c>
      <c r="E37" s="35">
        <v>27000130</v>
      </c>
      <c r="F37" s="35">
        <f t="shared" ref="F37:G37" si="16">+F22</f>
        <v>27000130</v>
      </c>
      <c r="G37" s="35">
        <f t="shared" si="16"/>
        <v>27000130</v>
      </c>
      <c r="H37" s="35">
        <f t="shared" ref="H37:J37" si="17">+I22</f>
        <v>27000130</v>
      </c>
      <c r="I37" s="35">
        <f t="shared" si="17"/>
        <v>27000130</v>
      </c>
      <c r="J37" s="35">
        <f t="shared" si="17"/>
        <v>27000130</v>
      </c>
      <c r="K37" s="35">
        <f>+L22</f>
        <v>27000130</v>
      </c>
      <c r="L37" s="35">
        <f>+L22</f>
        <v>27000130</v>
      </c>
      <c r="M37" s="35">
        <f>+M22</f>
        <v>27000130</v>
      </c>
      <c r="N37" s="35">
        <f t="shared" ref="N37:AF37" si="18">+N22</f>
        <v>27000130</v>
      </c>
      <c r="O37" s="35">
        <f t="shared" si="18"/>
        <v>27000130</v>
      </c>
      <c r="P37" s="35">
        <f t="shared" si="18"/>
        <v>27000130</v>
      </c>
      <c r="Q37" s="35">
        <f t="shared" si="18"/>
        <v>27000130</v>
      </c>
      <c r="R37" s="35">
        <f t="shared" si="18"/>
        <v>27000130</v>
      </c>
      <c r="S37" s="35">
        <f t="shared" si="18"/>
        <v>27000130</v>
      </c>
      <c r="T37" s="35">
        <f t="shared" si="18"/>
        <v>27000130</v>
      </c>
      <c r="U37" s="35">
        <f t="shared" si="18"/>
        <v>27000130</v>
      </c>
      <c r="V37" s="35">
        <f t="shared" si="18"/>
        <v>27000130</v>
      </c>
      <c r="W37" s="35">
        <f t="shared" si="18"/>
        <v>27000130</v>
      </c>
      <c r="X37" s="35">
        <f t="shared" si="18"/>
        <v>27000130</v>
      </c>
      <c r="Y37" s="35">
        <f t="shared" si="18"/>
        <v>27000130</v>
      </c>
      <c r="Z37" s="35">
        <f t="shared" si="18"/>
        <v>20871427</v>
      </c>
      <c r="AA37" s="35">
        <f t="shared" si="18"/>
        <v>20871427</v>
      </c>
      <c r="AB37" s="35">
        <f t="shared" si="18"/>
        <v>20871427</v>
      </c>
      <c r="AC37" s="35">
        <f t="shared" si="18"/>
        <v>20871427</v>
      </c>
      <c r="AD37" s="35">
        <f t="shared" si="18"/>
        <v>20871427</v>
      </c>
      <c r="AE37" s="35">
        <f t="shared" si="18"/>
        <v>20871427</v>
      </c>
      <c r="AF37" s="35">
        <f t="shared" si="18"/>
        <v>20871427</v>
      </c>
    </row>
    <row r="38" spans="1:32" ht="15.75" thickBot="1" x14ac:dyDescent="0.3">
      <c r="A38" s="29" t="s">
        <v>42</v>
      </c>
      <c r="B38" s="30">
        <f>+B36*1000000/B37</f>
        <v>12.473217721544303</v>
      </c>
      <c r="C38" s="30">
        <f t="shared" ref="C38" si="19">+C36*1000000/C37</f>
        <v>4.4211120464975542</v>
      </c>
      <c r="D38" s="30">
        <v>8.0521056750467501</v>
      </c>
      <c r="E38" s="30">
        <v>3.9062034145761522</v>
      </c>
      <c r="F38" s="30">
        <f>+F36*1000000/F37</f>
        <v>4.1429430154595552</v>
      </c>
      <c r="G38" s="30">
        <f t="shared" ref="G38" si="20">+G36*1000000/G37</f>
        <v>4.1429430154595552</v>
      </c>
      <c r="H38" s="30">
        <f>+H36*1000000/H37</f>
        <v>13.908451551899935</v>
      </c>
      <c r="I38" s="30">
        <f>+I36*1000000/I37</f>
        <v>2.7964865354351995</v>
      </c>
      <c r="J38" s="30">
        <v>11.111965016464735</v>
      </c>
      <c r="K38" s="30">
        <v>3.8588554943994708</v>
      </c>
      <c r="L38" s="30">
        <f t="shared" ref="L38:AF38" si="21">+L36*1000000/L37</f>
        <v>7.253109522065265</v>
      </c>
      <c r="M38" s="30">
        <f t="shared" si="21"/>
        <v>3.0983295265615394</v>
      </c>
      <c r="N38" s="30">
        <f t="shared" si="21"/>
        <v>4.1547799955037261</v>
      </c>
      <c r="O38" s="30">
        <f t="shared" si="21"/>
        <v>4.1547799955037261</v>
      </c>
      <c r="P38" s="30">
        <f t="shared" si="21"/>
        <v>12.778019957681687</v>
      </c>
      <c r="Q38" s="30">
        <f t="shared" si="21"/>
        <v>4.8620395531428935</v>
      </c>
      <c r="R38" s="30">
        <f t="shared" si="21"/>
        <v>7.9159804045387938</v>
      </c>
      <c r="S38" s="30">
        <f t="shared" si="21"/>
        <v>2.6070948547284774</v>
      </c>
      <c r="T38" s="30">
        <f t="shared" si="21"/>
        <v>5.3088855498103156</v>
      </c>
      <c r="U38" s="30">
        <f t="shared" si="21"/>
        <v>1.9856534024095431</v>
      </c>
      <c r="V38" s="30">
        <f t="shared" si="21"/>
        <v>3.3232321474007724</v>
      </c>
      <c r="W38" s="30">
        <f t="shared" si="21"/>
        <v>3.3232321474007724</v>
      </c>
      <c r="X38" s="30">
        <f t="shared" si="21"/>
        <v>5.5128949379132619</v>
      </c>
      <c r="Y38" s="30">
        <f t="shared" si="21"/>
        <v>0.34080502575357979</v>
      </c>
      <c r="Z38" s="30">
        <f t="shared" si="21"/>
        <v>6.5985665474622319</v>
      </c>
      <c r="AA38" s="30">
        <f t="shared" si="21"/>
        <v>1.996020684163091</v>
      </c>
      <c r="AB38" s="30">
        <f t="shared" si="21"/>
        <v>4.6025458632991407</v>
      </c>
      <c r="AC38" s="30">
        <f t="shared" si="21"/>
        <v>2.1532164523297808</v>
      </c>
      <c r="AD38" s="30">
        <f t="shared" si="21"/>
        <v>2.44932941096936</v>
      </c>
      <c r="AE38" s="30">
        <f t="shared" si="21"/>
        <v>2.44932941096936</v>
      </c>
      <c r="AF38" s="30">
        <f t="shared" si="21"/>
        <v>12.006462231834938</v>
      </c>
    </row>
    <row r="39" spans="1:32" x14ac:dyDescent="0.25">
      <c r="V39" s="8"/>
    </row>
    <row r="40" spans="1:32" x14ac:dyDescent="0.25">
      <c r="A40" t="s">
        <v>43</v>
      </c>
      <c r="B40" s="36">
        <v>136</v>
      </c>
      <c r="C40" s="36">
        <v>136</v>
      </c>
      <c r="D40" s="36">
        <v>126</v>
      </c>
      <c r="E40" s="36">
        <v>126</v>
      </c>
      <c r="F40" s="36">
        <v>128</v>
      </c>
      <c r="G40" s="36">
        <f>+F40</f>
        <v>128</v>
      </c>
      <c r="H40" s="36">
        <f>+H45</f>
        <v>130</v>
      </c>
      <c r="I40" s="36">
        <f>+H40</f>
        <v>130</v>
      </c>
      <c r="J40" s="36">
        <v>121</v>
      </c>
      <c r="K40" s="37">
        <f>+J40</f>
        <v>121</v>
      </c>
      <c r="L40" s="36">
        <v>125</v>
      </c>
      <c r="M40" s="36">
        <f>+L40</f>
        <v>125</v>
      </c>
      <c r="N40" s="37">
        <v>127</v>
      </c>
      <c r="O40" s="36">
        <f>+N40</f>
        <v>127</v>
      </c>
      <c r="P40" s="36">
        <v>120</v>
      </c>
      <c r="Q40" s="37">
        <f>+P40</f>
        <v>120</v>
      </c>
      <c r="R40" s="36">
        <v>115</v>
      </c>
      <c r="S40" s="37">
        <f>+R40</f>
        <v>115</v>
      </c>
      <c r="T40" s="37">
        <v>119</v>
      </c>
      <c r="U40" s="37">
        <f>+T40</f>
        <v>119</v>
      </c>
      <c r="V40" s="37">
        <v>134</v>
      </c>
      <c r="W40" s="37">
        <f>+V40</f>
        <v>134</v>
      </c>
      <c r="X40" s="36">
        <v>131</v>
      </c>
      <c r="Y40" s="37">
        <f>+X40</f>
        <v>131</v>
      </c>
      <c r="Z40" s="36">
        <v>122</v>
      </c>
      <c r="AA40" s="37">
        <f>+Z40</f>
        <v>122</v>
      </c>
      <c r="AB40" s="36">
        <v>120</v>
      </c>
      <c r="AC40" s="37">
        <f>+AB40</f>
        <v>120</v>
      </c>
      <c r="AD40" s="38">
        <v>107</v>
      </c>
      <c r="AE40" s="39">
        <f>+AD40</f>
        <v>107</v>
      </c>
      <c r="AF40" s="39">
        <v>86</v>
      </c>
    </row>
    <row r="41" spans="1:32" x14ac:dyDescent="0.25">
      <c r="A41" t="s">
        <v>44</v>
      </c>
      <c r="B41" s="36">
        <f>+B14*1000000*B19/B37</f>
        <v>16.63095696205907</v>
      </c>
      <c r="C41" s="36">
        <f t="shared" ref="C41" si="22">+C14*1000000*C19/C37</f>
        <v>17.684448185990217</v>
      </c>
      <c r="D41" s="36">
        <v>16.1042113500935</v>
      </c>
      <c r="E41" s="36">
        <v>15.624813658304609</v>
      </c>
      <c r="F41" s="36">
        <f t="shared" ref="F41:J41" si="23">+F14*1000000*F19/F37</f>
        <v>16.571772061838221</v>
      </c>
      <c r="G41" s="36">
        <f t="shared" si="23"/>
        <v>16.571772061838221</v>
      </c>
      <c r="H41" s="36">
        <f t="shared" si="23"/>
        <v>13.908451551899935</v>
      </c>
      <c r="I41" s="36">
        <f t="shared" si="23"/>
        <v>11.185946141740798</v>
      </c>
      <c r="J41" s="36">
        <f t="shared" si="23"/>
        <v>14.815953355286315</v>
      </c>
      <c r="K41" s="36">
        <f>+K14*1000000*K19/K37</f>
        <v>15.435421977597883</v>
      </c>
      <c r="L41" s="36">
        <f>+L14*1000000*L19/L37</f>
        <v>14.50621904413053</v>
      </c>
      <c r="M41" s="36">
        <f>+M14*1000000*M19/M37</f>
        <v>12.393318106246156</v>
      </c>
      <c r="N41" s="36">
        <f t="shared" ref="N41:AF41" si="24">+N14*1000000*N19/N37</f>
        <v>16.619119982014901</v>
      </c>
      <c r="O41" s="36">
        <f t="shared" si="24"/>
        <v>16.619119982014901</v>
      </c>
      <c r="P41" s="36">
        <f t="shared" si="24"/>
        <v>12.778019957681686</v>
      </c>
      <c r="Q41" s="36">
        <f t="shared" si="24"/>
        <v>19.44815821257157</v>
      </c>
      <c r="R41" s="36">
        <f t="shared" si="24"/>
        <v>10.554640539385058</v>
      </c>
      <c r="S41" s="36">
        <f t="shared" si="24"/>
        <v>10.428379418913911</v>
      </c>
      <c r="T41" s="36">
        <f t="shared" si="24"/>
        <v>10.617771099620629</v>
      </c>
      <c r="U41" s="36">
        <f t="shared" si="24"/>
        <v>7.9426136096381716</v>
      </c>
      <c r="V41" s="36">
        <f t="shared" si="24"/>
        <v>13.29292858960309</v>
      </c>
      <c r="W41" s="36">
        <f t="shared" si="24"/>
        <v>13.29292858960309</v>
      </c>
      <c r="X41" s="36">
        <f t="shared" si="24"/>
        <v>5.5128949379132619</v>
      </c>
      <c r="Y41" s="36">
        <f t="shared" si="24"/>
        <v>1.3632201030143187</v>
      </c>
      <c r="Z41" s="36">
        <f t="shared" si="24"/>
        <v>8.798088729949642</v>
      </c>
      <c r="AA41" s="36">
        <f t="shared" si="24"/>
        <v>7.9840827366523621</v>
      </c>
      <c r="AB41" s="36">
        <f t="shared" si="24"/>
        <v>9.2050917265982815</v>
      </c>
      <c r="AC41" s="36">
        <f t="shared" si="24"/>
        <v>8.612865809319123</v>
      </c>
      <c r="AD41" s="36">
        <f t="shared" si="24"/>
        <v>9.7973176438774399</v>
      </c>
      <c r="AE41" s="36">
        <f t="shared" si="24"/>
        <v>9.7973176438774399</v>
      </c>
      <c r="AF41" s="36">
        <f t="shared" si="24"/>
        <v>12.006462231834938</v>
      </c>
    </row>
    <row r="42" spans="1:32" s="42" customFormat="1" ht="15.75" thickBot="1" x14ac:dyDescent="0.3">
      <c r="A42" s="40" t="s">
        <v>45</v>
      </c>
      <c r="B42" s="41">
        <f>B40/B41</f>
        <v>8.1775210115847656</v>
      </c>
      <c r="C42" s="41">
        <f>C40/C41</f>
        <v>7.6903728388732233</v>
      </c>
      <c r="D42" s="41">
        <v>7.8240403867568746</v>
      </c>
      <c r="E42" s="41">
        <v>8.0640961713505508</v>
      </c>
      <c r="F42" s="41">
        <f t="shared" ref="F42:AF42" si="25">F40/F41</f>
        <v>7.7239778294296437</v>
      </c>
      <c r="G42" s="41">
        <f t="shared" si="25"/>
        <v>7.7239778294296437</v>
      </c>
      <c r="H42" s="41">
        <f t="shared" si="25"/>
        <v>9.3468348733789579</v>
      </c>
      <c r="I42" s="41">
        <f>I40/I41</f>
        <v>11.621725900762197</v>
      </c>
      <c r="J42" s="41">
        <f t="shared" si="25"/>
        <v>8.1668723637569602</v>
      </c>
      <c r="K42" s="41">
        <f t="shared" si="25"/>
        <v>7.8391118931256107</v>
      </c>
      <c r="L42" s="41">
        <f t="shared" si="25"/>
        <v>8.6169938300068054</v>
      </c>
      <c r="M42" s="41">
        <f t="shared" si="25"/>
        <v>10.086080170652666</v>
      </c>
      <c r="N42" s="41">
        <f t="shared" si="25"/>
        <v>7.6418005368177457</v>
      </c>
      <c r="O42" s="41">
        <f t="shared" si="25"/>
        <v>7.6418005368177457</v>
      </c>
      <c r="P42" s="41">
        <f t="shared" si="25"/>
        <v>9.3911263558373399</v>
      </c>
      <c r="Q42" s="41">
        <f t="shared" si="25"/>
        <v>6.1702500919819885</v>
      </c>
      <c r="R42" s="41">
        <f t="shared" si="25"/>
        <v>10.89568134233212</v>
      </c>
      <c r="S42" s="41">
        <f t="shared" si="25"/>
        <v>11.027600299182147</v>
      </c>
      <c r="T42" s="41">
        <f t="shared" si="25"/>
        <v>11.207625299461565</v>
      </c>
      <c r="U42" s="41">
        <f t="shared" si="25"/>
        <v>14.982473760979175</v>
      </c>
      <c r="V42" s="41">
        <f t="shared" si="25"/>
        <v>10.080547645821746</v>
      </c>
      <c r="W42" s="41">
        <f t="shared" si="25"/>
        <v>10.080547645821746</v>
      </c>
      <c r="X42" s="41">
        <f t="shared" si="25"/>
        <v>23.762469895641807</v>
      </c>
      <c r="Y42" s="41">
        <f t="shared" si="25"/>
        <v>96.09600071942603</v>
      </c>
      <c r="Z42" s="41">
        <f t="shared" si="25"/>
        <v>13.86664805785589</v>
      </c>
      <c r="AA42" s="41">
        <f t="shared" si="25"/>
        <v>15.280402774377217</v>
      </c>
      <c r="AB42" s="41">
        <f t="shared" si="25"/>
        <v>13.036263359903064</v>
      </c>
      <c r="AC42" s="41">
        <f t="shared" si="25"/>
        <v>13.932644796364988</v>
      </c>
      <c r="AD42" s="41">
        <f t="shared" si="25"/>
        <v>10.921356629369535</v>
      </c>
      <c r="AE42" s="41">
        <f t="shared" si="25"/>
        <v>10.921356629369535</v>
      </c>
      <c r="AF42" s="41">
        <f t="shared" si="25"/>
        <v>7.1628093554463037</v>
      </c>
    </row>
    <row r="43" spans="1:32" x14ac:dyDescent="0.25">
      <c r="V43" s="8"/>
    </row>
    <row r="44" spans="1:32" x14ac:dyDescent="0.25">
      <c r="K44" s="43"/>
      <c r="N44" s="43"/>
      <c r="Q44" s="43"/>
      <c r="S44" s="43"/>
      <c r="T44" s="44"/>
      <c r="U44" s="44"/>
      <c r="V44" s="44"/>
      <c r="W44" s="43"/>
      <c r="Y44" s="44"/>
      <c r="AA44" s="43"/>
      <c r="AC44" s="43"/>
      <c r="AD44" s="45"/>
      <c r="AE44" s="43"/>
      <c r="AF44" s="43"/>
    </row>
    <row r="45" spans="1:32" x14ac:dyDescent="0.25">
      <c r="A45" t="s">
        <v>43</v>
      </c>
      <c r="B45" s="36">
        <f>+B40</f>
        <v>136</v>
      </c>
      <c r="C45" s="36"/>
      <c r="D45" s="36">
        <v>126</v>
      </c>
      <c r="E45" s="36"/>
      <c r="F45" s="36">
        <f>+F40</f>
        <v>128</v>
      </c>
      <c r="G45" s="36"/>
      <c r="H45" s="36">
        <v>130</v>
      </c>
      <c r="I45" s="36"/>
      <c r="J45" s="36">
        <v>121</v>
      </c>
      <c r="K45" s="36"/>
      <c r="L45" s="36">
        <f>+L40</f>
        <v>125</v>
      </c>
      <c r="M45" s="36"/>
      <c r="N45" s="36">
        <f>+N40</f>
        <v>127</v>
      </c>
      <c r="O45" s="36"/>
      <c r="P45" s="36">
        <f>+P40</f>
        <v>120</v>
      </c>
      <c r="Q45" s="36"/>
      <c r="R45" s="36">
        <f>+R40</f>
        <v>115</v>
      </c>
      <c r="S45" s="36"/>
      <c r="T45" s="36">
        <f>+T40</f>
        <v>119</v>
      </c>
      <c r="U45" s="36"/>
      <c r="V45" s="36">
        <f>+V40</f>
        <v>134</v>
      </c>
      <c r="W45" s="36"/>
      <c r="X45" s="36">
        <f>+X40</f>
        <v>131</v>
      </c>
      <c r="Y45" s="36"/>
      <c r="Z45" s="36">
        <f>+Z40</f>
        <v>122</v>
      </c>
      <c r="AA45" s="36"/>
      <c r="AB45" s="36">
        <f>+AB40</f>
        <v>120</v>
      </c>
      <c r="AC45" s="36"/>
      <c r="AD45" s="36">
        <f>+AD40</f>
        <v>107</v>
      </c>
      <c r="AE45" s="36"/>
      <c r="AF45" s="36">
        <f>+AF40</f>
        <v>86</v>
      </c>
    </row>
    <row r="46" spans="1:32" x14ac:dyDescent="0.25">
      <c r="A46" s="27" t="s">
        <v>46</v>
      </c>
      <c r="B46" s="46">
        <f>+B33</f>
        <v>139.34646476987518</v>
      </c>
      <c r="C46" s="46"/>
      <c r="D46" s="46">
        <v>135.25494136509715</v>
      </c>
      <c r="E46" s="46"/>
      <c r="F46" s="46">
        <f>+F33</f>
        <v>131.26225582433014</v>
      </c>
      <c r="G46" s="46"/>
      <c r="H46" s="46">
        <f>+H33</f>
        <v>137.89474471575136</v>
      </c>
      <c r="I46" s="46"/>
      <c r="J46" s="46">
        <f>+J33</f>
        <v>135.13138640443583</v>
      </c>
      <c r="K46" s="46"/>
      <c r="L46" s="46">
        <f>+L33</f>
        <v>131.23996069648553</v>
      </c>
      <c r="M46" s="46"/>
      <c r="N46" s="46">
        <f>+N33</f>
        <v>128.36967822006784</v>
      </c>
      <c r="O46" s="46"/>
      <c r="P46" s="46">
        <f>+P33</f>
        <v>134.60198154601477</v>
      </c>
      <c r="Q46" s="46"/>
      <c r="R46" s="46">
        <f>+R33</f>
        <v>129.74733825355656</v>
      </c>
      <c r="S46" s="46"/>
      <c r="T46" s="46">
        <f>+T33</f>
        <v>127.0263143177459</v>
      </c>
      <c r="U46" s="46"/>
      <c r="V46" s="46">
        <f>+V33</f>
        <v>124.9103615427037</v>
      </c>
      <c r="W46" s="46"/>
      <c r="X46" s="46">
        <f>+X33</f>
        <v>152.61806676073724</v>
      </c>
      <c r="Y46" s="46"/>
      <c r="Z46" s="46">
        <f>+Z33</f>
        <v>132.48682037888452</v>
      </c>
      <c r="AA46" s="46"/>
      <c r="AB46" s="46">
        <f>+AB33</f>
        <v>130.45701187561349</v>
      </c>
      <c r="AC46" s="46"/>
      <c r="AD46" s="46">
        <f>+AD33</f>
        <v>128.33669686313254</v>
      </c>
      <c r="AE46" s="46"/>
      <c r="AF46" s="46">
        <f>+AF33</f>
        <v>128.53553329151862</v>
      </c>
    </row>
    <row r="47" spans="1:32" s="42" customFormat="1" ht="15.75" thickBot="1" x14ac:dyDescent="0.3">
      <c r="A47" s="40" t="s">
        <v>47</v>
      </c>
      <c r="B47" s="47">
        <f>B45/B46</f>
        <v>0.97598457359214874</v>
      </c>
      <c r="C47" s="47"/>
      <c r="D47" s="47">
        <v>0.93157409798348845</v>
      </c>
      <c r="E47" s="47"/>
      <c r="F47" s="47">
        <f>F45/F46</f>
        <v>0.97514703824154858</v>
      </c>
      <c r="G47" s="47"/>
      <c r="H47" s="47">
        <f>+H45/H46</f>
        <v>0.94274803777312077</v>
      </c>
      <c r="I47" s="47"/>
      <c r="J47" s="47">
        <f>+J45/J46</f>
        <v>0.89542483962873076</v>
      </c>
      <c r="K47" s="48"/>
      <c r="L47" s="47">
        <f>L45/L46</f>
        <v>0.95245380550732961</v>
      </c>
      <c r="M47" s="47"/>
      <c r="N47" s="49">
        <f>N45/N46</f>
        <v>0.98933020446059106</v>
      </c>
      <c r="O47" s="47"/>
      <c r="P47" s="47">
        <f>P45/P46</f>
        <v>0.89151733593889948</v>
      </c>
      <c r="Q47" s="48"/>
      <c r="R47" s="47">
        <f>+R45/R46</f>
        <v>0.88633802857106148</v>
      </c>
      <c r="S47" s="48"/>
      <c r="T47" s="49">
        <f>+T45/T46</f>
        <v>0.93681376681001127</v>
      </c>
      <c r="U47" s="49"/>
      <c r="V47" s="47">
        <f>+V45/V46</f>
        <v>1.0727692910742941</v>
      </c>
      <c r="W47" s="48"/>
      <c r="X47" s="47">
        <f>X45/X46</f>
        <v>0.85835185034398076</v>
      </c>
      <c r="Y47" s="49"/>
      <c r="Z47" s="47">
        <f>Z45/Z46</f>
        <v>0.92084631249437177</v>
      </c>
      <c r="AA47" s="48"/>
      <c r="AB47" s="47">
        <f>AB45/AB46</f>
        <v>0.91984323628703135</v>
      </c>
      <c r="AC47" s="48"/>
      <c r="AD47" s="50">
        <f>AD45/AD46</f>
        <v>0.83374438189033706</v>
      </c>
      <c r="AE47" s="48"/>
      <c r="AF47" s="48"/>
    </row>
    <row r="48" spans="1:32" x14ac:dyDescent="0.25">
      <c r="L48" s="51"/>
      <c r="V48" s="8"/>
    </row>
    <row r="49" spans="1:32" x14ac:dyDescent="0.25">
      <c r="B49" s="10"/>
      <c r="C49" s="45"/>
      <c r="D49" s="10"/>
      <c r="E49" s="45"/>
      <c r="F49" s="10"/>
      <c r="G49" s="45"/>
      <c r="H49" s="45"/>
      <c r="I49" s="45"/>
      <c r="J49" s="45"/>
      <c r="L49" s="45"/>
      <c r="M49" s="45"/>
      <c r="O49" s="45"/>
      <c r="P49" s="45"/>
      <c r="R49" s="45"/>
      <c r="V49" s="8"/>
      <c r="X49" s="52"/>
      <c r="Z49" s="45"/>
      <c r="AB49" s="45"/>
    </row>
    <row r="50" spans="1:32" x14ac:dyDescent="0.25">
      <c r="A50" t="s">
        <v>48</v>
      </c>
      <c r="B50" s="53">
        <f>+C50+E50+G50</f>
        <v>321.89999999999998</v>
      </c>
      <c r="C50" s="9">
        <v>105.5</v>
      </c>
      <c r="D50" s="10">
        <v>216.4</v>
      </c>
      <c r="E50" s="9">
        <v>109.4</v>
      </c>
      <c r="F50" s="10">
        <f>+G50</f>
        <v>107</v>
      </c>
      <c r="G50" s="9">
        <v>107</v>
      </c>
      <c r="H50" s="10">
        <v>414</v>
      </c>
      <c r="I50" s="10">
        <v>113</v>
      </c>
      <c r="J50" s="10">
        <v>301</v>
      </c>
      <c r="K50" s="11">
        <v>100</v>
      </c>
      <c r="L50" s="10">
        <f>+M50+O50</f>
        <v>201</v>
      </c>
      <c r="M50" s="10">
        <v>100</v>
      </c>
      <c r="N50" s="11">
        <f>+O50</f>
        <v>101</v>
      </c>
      <c r="O50" s="10">
        <v>101</v>
      </c>
      <c r="P50" s="10">
        <v>381</v>
      </c>
      <c r="Q50" s="11">
        <v>101</v>
      </c>
      <c r="R50" s="10">
        <f>+S50+U50+W50</f>
        <v>280</v>
      </c>
      <c r="S50" s="11">
        <v>95</v>
      </c>
      <c r="T50" s="11">
        <f>+U50+W50</f>
        <v>185</v>
      </c>
      <c r="U50" s="11">
        <v>91</v>
      </c>
      <c r="V50" s="11">
        <f>+W50</f>
        <v>94</v>
      </c>
      <c r="W50" s="11">
        <v>94</v>
      </c>
      <c r="X50" s="10">
        <v>384</v>
      </c>
      <c r="Y50" s="11">
        <v>141</v>
      </c>
      <c r="Z50" s="10">
        <f>+AA50+AC50+AE50</f>
        <v>243</v>
      </c>
      <c r="AA50" s="11">
        <v>80</v>
      </c>
      <c r="AB50" s="10">
        <f>+AC50+AE50</f>
        <v>163</v>
      </c>
      <c r="AC50" s="11">
        <v>82</v>
      </c>
      <c r="AD50" s="10">
        <f>+AE50</f>
        <v>81</v>
      </c>
      <c r="AE50" s="11">
        <v>81</v>
      </c>
      <c r="AF50" s="11">
        <v>462</v>
      </c>
    </row>
    <row r="51" spans="1:32" x14ac:dyDescent="0.25">
      <c r="A51" s="27" t="s">
        <v>49</v>
      </c>
      <c r="B51" s="13">
        <f>+C51+E51+G51</f>
        <v>962</v>
      </c>
      <c r="C51" s="13">
        <v>322.5</v>
      </c>
      <c r="D51" s="13">
        <v>639.5</v>
      </c>
      <c r="E51" s="13">
        <v>300.5</v>
      </c>
      <c r="F51" s="13">
        <f>+G51</f>
        <v>339</v>
      </c>
      <c r="G51" s="13">
        <v>339</v>
      </c>
      <c r="H51" s="13">
        <v>1149</v>
      </c>
      <c r="I51" s="13">
        <v>292.5</v>
      </c>
      <c r="J51" s="13">
        <v>871.5</v>
      </c>
      <c r="K51" s="14">
        <v>293</v>
      </c>
      <c r="L51" s="13">
        <f>+M51+O51</f>
        <v>578</v>
      </c>
      <c r="M51" s="13">
        <f>233+40+6+4</f>
        <v>283</v>
      </c>
      <c r="N51" s="14">
        <f>+O51</f>
        <v>295</v>
      </c>
      <c r="O51" s="13">
        <f>233+36+24+2</f>
        <v>295</v>
      </c>
      <c r="P51" s="13">
        <v>955</v>
      </c>
      <c r="Q51" s="14">
        <v>288</v>
      </c>
      <c r="R51" s="13">
        <f>+S51+U51+W51</f>
        <v>668</v>
      </c>
      <c r="S51" s="14">
        <f>202+41-19+4</f>
        <v>228</v>
      </c>
      <c r="T51" s="14">
        <f>+U51+W51</f>
        <v>440</v>
      </c>
      <c r="U51" s="14">
        <f>184+38-27+2</f>
        <v>197</v>
      </c>
      <c r="V51" s="14">
        <f>+W51</f>
        <v>243</v>
      </c>
      <c r="W51" s="14">
        <f>174+46+21+2</f>
        <v>243</v>
      </c>
      <c r="X51" s="13">
        <f>604+107+4-3</f>
        <v>712</v>
      </c>
      <c r="Y51" s="14">
        <f>168+36-13-1</f>
        <v>190</v>
      </c>
      <c r="Z51" s="13">
        <f>+AA51+AC51+AE51</f>
        <v>522</v>
      </c>
      <c r="AA51" s="14">
        <f>148+22+3+4</f>
        <v>177</v>
      </c>
      <c r="AB51" s="13">
        <f>+AC51+AE51</f>
        <v>345</v>
      </c>
      <c r="AC51" s="14">
        <f>144+21+3</f>
        <v>168</v>
      </c>
      <c r="AD51" s="13">
        <f>+AE51</f>
        <v>177</v>
      </c>
      <c r="AE51" s="14">
        <f>144+28+4+1</f>
        <v>177</v>
      </c>
      <c r="AF51" s="14">
        <f>598+102+203</f>
        <v>903</v>
      </c>
    </row>
    <row r="52" spans="1:32" s="42" customFormat="1" ht="15.75" thickBot="1" x14ac:dyDescent="0.3">
      <c r="A52" s="54" t="s">
        <v>50</v>
      </c>
      <c r="B52" s="55">
        <f t="shared" ref="B52" si="26">B50/B51</f>
        <v>0.33461538461538459</v>
      </c>
      <c r="C52" s="55">
        <f>+C50/C51</f>
        <v>0.32713178294573642</v>
      </c>
      <c r="D52" s="55">
        <v>0.33838936669272868</v>
      </c>
      <c r="E52" s="55">
        <v>0.36405990016638939</v>
      </c>
      <c r="F52" s="55">
        <f t="shared" ref="F52" si="27">F50/F51</f>
        <v>0.31563421828908556</v>
      </c>
      <c r="G52" s="55">
        <f>+G50/G51</f>
        <v>0.31563421828908556</v>
      </c>
      <c r="H52" s="55">
        <f t="shared" ref="H52:AF52" si="28">H50/H51</f>
        <v>0.36031331592689297</v>
      </c>
      <c r="I52" s="55">
        <f t="shared" si="28"/>
        <v>0.38632478632478634</v>
      </c>
      <c r="J52" s="55">
        <f t="shared" si="28"/>
        <v>0.34538152610441769</v>
      </c>
      <c r="K52" s="55">
        <f t="shared" si="28"/>
        <v>0.34129692832764508</v>
      </c>
      <c r="L52" s="55">
        <f t="shared" si="28"/>
        <v>0.34775086505190311</v>
      </c>
      <c r="M52" s="56">
        <f t="shared" si="28"/>
        <v>0.35335689045936397</v>
      </c>
      <c r="N52" s="55">
        <f t="shared" si="28"/>
        <v>0.34237288135593219</v>
      </c>
      <c r="O52" s="55">
        <f t="shared" si="28"/>
        <v>0.34237288135593219</v>
      </c>
      <c r="P52" s="56">
        <f t="shared" si="28"/>
        <v>0.39895287958115183</v>
      </c>
      <c r="Q52" s="55">
        <f t="shared" si="28"/>
        <v>0.35069444444444442</v>
      </c>
      <c r="R52" s="55">
        <f t="shared" si="28"/>
        <v>0.41916167664670656</v>
      </c>
      <c r="S52" s="55">
        <f t="shared" si="28"/>
        <v>0.41666666666666669</v>
      </c>
      <c r="T52" s="55">
        <f t="shared" si="28"/>
        <v>0.42045454545454547</v>
      </c>
      <c r="U52" s="55">
        <f t="shared" si="28"/>
        <v>0.46192893401015228</v>
      </c>
      <c r="V52" s="55">
        <f t="shared" si="28"/>
        <v>0.38683127572016462</v>
      </c>
      <c r="W52" s="55">
        <f t="shared" si="28"/>
        <v>0.38683127572016462</v>
      </c>
      <c r="X52" s="55">
        <f t="shared" si="28"/>
        <v>0.5393258426966292</v>
      </c>
      <c r="Y52" s="55">
        <f t="shared" si="28"/>
        <v>0.74210526315789471</v>
      </c>
      <c r="Z52" s="55">
        <f t="shared" si="28"/>
        <v>0.46551724137931033</v>
      </c>
      <c r="AA52" s="55">
        <f t="shared" si="28"/>
        <v>0.4519774011299435</v>
      </c>
      <c r="AB52" s="55">
        <f t="shared" si="28"/>
        <v>0.47246376811594204</v>
      </c>
      <c r="AC52" s="55">
        <f t="shared" si="28"/>
        <v>0.48809523809523808</v>
      </c>
      <c r="AD52" s="55">
        <f t="shared" si="28"/>
        <v>0.4576271186440678</v>
      </c>
      <c r="AE52" s="55">
        <f t="shared" si="28"/>
        <v>0.4576271186440678</v>
      </c>
      <c r="AF52" s="55">
        <f t="shared" si="28"/>
        <v>0.51162790697674421</v>
      </c>
    </row>
    <row r="53" spans="1:32" x14ac:dyDescent="0.25">
      <c r="V53" s="8"/>
    </row>
    <row r="54" spans="1:32" x14ac:dyDescent="0.25">
      <c r="C54" s="45"/>
      <c r="E54" s="45"/>
      <c r="G54" s="45"/>
      <c r="I54" s="45"/>
      <c r="V54" s="8"/>
      <c r="X54" s="10">
        <v>0</v>
      </c>
    </row>
    <row r="55" spans="1:32" x14ac:dyDescent="0.25">
      <c r="A55" t="s">
        <v>51</v>
      </c>
      <c r="B55" s="10">
        <f>+B60</f>
        <v>24968</v>
      </c>
      <c r="C55" s="10"/>
      <c r="D55" s="10">
        <v>26257</v>
      </c>
      <c r="E55" s="10"/>
      <c r="F55" s="10">
        <f>+F60</f>
        <v>24914</v>
      </c>
      <c r="G55" s="10"/>
      <c r="H55" s="10">
        <f>+H60</f>
        <v>24683</v>
      </c>
      <c r="I55" s="10"/>
      <c r="J55" s="10">
        <v>25046</v>
      </c>
      <c r="K55" s="17"/>
      <c r="L55" s="10">
        <f>+L60</f>
        <v>25327</v>
      </c>
      <c r="M55" s="10"/>
      <c r="N55" s="11">
        <f>+N60</f>
        <v>25377</v>
      </c>
      <c r="O55" s="10"/>
      <c r="P55" s="10">
        <f>+P60</f>
        <v>25129</v>
      </c>
      <c r="Q55" s="17"/>
      <c r="R55" s="10">
        <f>+R60</f>
        <v>24152</v>
      </c>
      <c r="S55" s="17"/>
      <c r="T55" s="11">
        <f>+T60</f>
        <v>24731</v>
      </c>
      <c r="U55" s="11"/>
      <c r="V55" s="11">
        <f>+V60</f>
        <v>24144</v>
      </c>
      <c r="W55" s="17"/>
      <c r="X55" s="10">
        <f>+X60</f>
        <v>23552</v>
      </c>
      <c r="Y55" s="11"/>
      <c r="Z55" s="10">
        <v>20816</v>
      </c>
      <c r="AA55" s="17"/>
      <c r="AB55" s="10">
        <v>20612</v>
      </c>
      <c r="AC55" s="17"/>
      <c r="AD55" s="10">
        <v>20222</v>
      </c>
      <c r="AE55" s="17"/>
      <c r="AF55" s="10">
        <v>18684</v>
      </c>
    </row>
    <row r="56" spans="1:32" x14ac:dyDescent="0.25">
      <c r="A56" s="27" t="s">
        <v>52</v>
      </c>
      <c r="B56" s="13">
        <f>+B67</f>
        <v>39322.92140485</v>
      </c>
      <c r="C56" s="13"/>
      <c r="D56" s="13">
        <v>39114</v>
      </c>
      <c r="E56" s="13"/>
      <c r="F56" s="13">
        <f>+F67</f>
        <v>38250</v>
      </c>
      <c r="G56" s="13"/>
      <c r="H56" s="13">
        <f>+H67</f>
        <v>37982</v>
      </c>
      <c r="I56" s="13"/>
      <c r="J56" s="13">
        <v>37453</v>
      </c>
      <c r="K56" s="13"/>
      <c r="L56" s="13">
        <f>+L67</f>
        <v>37408</v>
      </c>
      <c r="M56" s="13"/>
      <c r="N56" s="13">
        <f>+N67</f>
        <v>37426</v>
      </c>
      <c r="O56" s="13"/>
      <c r="P56" s="13">
        <f>+P67</f>
        <v>37347</v>
      </c>
      <c r="Q56" s="13"/>
      <c r="R56" s="13">
        <f>+R67</f>
        <v>36810</v>
      </c>
      <c r="S56" s="13"/>
      <c r="T56" s="13">
        <f>+T67</f>
        <v>36867</v>
      </c>
      <c r="U56" s="13"/>
      <c r="V56" s="13">
        <f>+V67</f>
        <v>36910</v>
      </c>
      <c r="W56" s="13"/>
      <c r="X56" s="13">
        <f>+X67</f>
        <v>37005</v>
      </c>
      <c r="Y56" s="13"/>
      <c r="Z56" s="13">
        <f>+Z67</f>
        <v>28324</v>
      </c>
      <c r="AA56" s="13"/>
      <c r="AB56" s="13">
        <f>+AB67</f>
        <v>27328</v>
      </c>
      <c r="AC56" s="13"/>
      <c r="AD56" s="13">
        <f>+AD67</f>
        <v>27126</v>
      </c>
      <c r="AE56" s="13"/>
      <c r="AF56" s="13">
        <f>+AF67</f>
        <v>27689</v>
      </c>
    </row>
    <row r="57" spans="1:32" s="57" customFormat="1" ht="15.75" thickBot="1" x14ac:dyDescent="0.3">
      <c r="A57" s="56" t="s">
        <v>53</v>
      </c>
      <c r="B57" s="56">
        <f>B55/B56</f>
        <v>0.63494773806201754</v>
      </c>
      <c r="C57" s="56"/>
      <c r="D57" s="56">
        <v>0.67129416577184642</v>
      </c>
      <c r="E57" s="56"/>
      <c r="F57" s="56">
        <f>F55/F56</f>
        <v>0.6513464052287582</v>
      </c>
      <c r="G57" s="56"/>
      <c r="H57" s="56">
        <f>+H55/H56</f>
        <v>0.64986046021799804</v>
      </c>
      <c r="I57" s="56"/>
      <c r="J57" s="56">
        <v>0.66873147678423628</v>
      </c>
      <c r="K57" s="56"/>
      <c r="L57" s="56">
        <f>L55/L56</f>
        <v>0.67704769033361845</v>
      </c>
      <c r="M57" s="56"/>
      <c r="N57" s="56">
        <f>N55/N56</f>
        <v>0.67805803452145563</v>
      </c>
      <c r="O57" s="56"/>
      <c r="P57" s="56">
        <f>P55/P56</f>
        <v>0.67285190242857529</v>
      </c>
      <c r="Q57" s="56"/>
      <c r="R57" s="56">
        <f>R55/R56</f>
        <v>0.65612605270306978</v>
      </c>
      <c r="S57" s="56"/>
      <c r="T57" s="56">
        <f>T55/T56</f>
        <v>0.67081671955949762</v>
      </c>
      <c r="U57" s="56"/>
      <c r="V57" s="56">
        <f>V55/V56</f>
        <v>0.65413167163370356</v>
      </c>
      <c r="W57" s="56"/>
      <c r="X57" s="56">
        <f>X55/X56</f>
        <v>0.63645453317119305</v>
      </c>
      <c r="Y57" s="56"/>
      <c r="Z57" s="56">
        <f>Z55/Z56</f>
        <v>0.7349244456997599</v>
      </c>
      <c r="AA57" s="56"/>
      <c r="AB57" s="56">
        <f>AB55/AB56</f>
        <v>0.75424473067915687</v>
      </c>
      <c r="AC57" s="56"/>
      <c r="AD57" s="56">
        <f>AD55/AD56</f>
        <v>0.74548403745484038</v>
      </c>
      <c r="AE57" s="56"/>
      <c r="AF57" s="56">
        <f>AF55/AF56</f>
        <v>0.67478059879374486</v>
      </c>
    </row>
    <row r="59" spans="1:32" x14ac:dyDescent="0.25">
      <c r="C59" s="58"/>
      <c r="E59" s="58"/>
      <c r="G59" s="58"/>
      <c r="I59" s="58"/>
    </row>
    <row r="60" spans="1:32" x14ac:dyDescent="0.25">
      <c r="A60" s="9" t="s">
        <v>54</v>
      </c>
      <c r="B60" s="59">
        <v>24968</v>
      </c>
      <c r="C60" s="59">
        <f>+B60</f>
        <v>24968</v>
      </c>
      <c r="D60" s="59">
        <v>26257</v>
      </c>
      <c r="E60" s="59">
        <v>26257</v>
      </c>
      <c r="F60" s="59">
        <v>24914</v>
      </c>
      <c r="G60" s="59">
        <f>+F60</f>
        <v>24914</v>
      </c>
      <c r="H60" s="59">
        <v>24683</v>
      </c>
      <c r="I60" s="59">
        <f>+H60</f>
        <v>24683</v>
      </c>
      <c r="J60" s="59">
        <v>25046</v>
      </c>
      <c r="K60" s="60">
        <f>+J60</f>
        <v>25046</v>
      </c>
      <c r="L60" s="59">
        <v>25327</v>
      </c>
      <c r="M60" s="59">
        <f>+L60</f>
        <v>25327</v>
      </c>
      <c r="N60" s="60">
        <v>25377</v>
      </c>
      <c r="O60" s="59">
        <f>+N60</f>
        <v>25377</v>
      </c>
      <c r="P60" s="59">
        <v>25129</v>
      </c>
      <c r="Q60" s="60">
        <f>+P60</f>
        <v>25129</v>
      </c>
      <c r="R60" s="59">
        <v>24152</v>
      </c>
      <c r="S60" s="60">
        <f>+R60</f>
        <v>24152</v>
      </c>
      <c r="T60" s="60">
        <v>24731</v>
      </c>
      <c r="U60" s="60">
        <f>+T60</f>
        <v>24731</v>
      </c>
      <c r="V60" s="60">
        <v>24144</v>
      </c>
      <c r="W60" s="60">
        <f>+V60</f>
        <v>24144</v>
      </c>
      <c r="X60" s="59">
        <v>23552</v>
      </c>
      <c r="Y60" s="60">
        <f>+X60</f>
        <v>23552</v>
      </c>
      <c r="Z60" s="59">
        <f>+Z55</f>
        <v>20816</v>
      </c>
      <c r="AA60" s="60">
        <f>+Z60</f>
        <v>20816</v>
      </c>
      <c r="AB60" s="59">
        <f>+AB55</f>
        <v>20612</v>
      </c>
      <c r="AC60" s="60">
        <f>+AB60</f>
        <v>20612</v>
      </c>
      <c r="AD60" s="59">
        <f>+AD55</f>
        <v>20222</v>
      </c>
      <c r="AE60" s="60">
        <v>20222</v>
      </c>
      <c r="AF60" s="60">
        <f>+AF55</f>
        <v>18684</v>
      </c>
    </row>
    <row r="61" spans="1:32" x14ac:dyDescent="0.25">
      <c r="A61" s="61" t="s">
        <v>55</v>
      </c>
      <c r="B61" s="35">
        <f>+J60</f>
        <v>25046</v>
      </c>
      <c r="C61" s="35">
        <f>+E60</f>
        <v>26257</v>
      </c>
      <c r="D61" s="35">
        <v>25327</v>
      </c>
      <c r="E61" s="35">
        <v>24914</v>
      </c>
      <c r="F61" s="35">
        <f>+N60</f>
        <v>25377</v>
      </c>
      <c r="G61" s="35">
        <f>+I60</f>
        <v>24683</v>
      </c>
      <c r="H61" s="35">
        <f>+P60</f>
        <v>25129</v>
      </c>
      <c r="I61" s="35">
        <f>+K60</f>
        <v>25046</v>
      </c>
      <c r="J61" s="35">
        <f>+R60</f>
        <v>24152</v>
      </c>
      <c r="K61" s="62">
        <f>+M60</f>
        <v>25327</v>
      </c>
      <c r="L61" s="35">
        <f>+T60</f>
        <v>24731</v>
      </c>
      <c r="M61" s="35">
        <f>+O60</f>
        <v>25377</v>
      </c>
      <c r="N61" s="62">
        <f>+V60</f>
        <v>24144</v>
      </c>
      <c r="O61" s="35">
        <f>+Q60</f>
        <v>25129</v>
      </c>
      <c r="P61" s="35">
        <f>X60</f>
        <v>23552</v>
      </c>
      <c r="Q61" s="62">
        <f>+S60</f>
        <v>24152</v>
      </c>
      <c r="R61" s="35">
        <f>+Z60</f>
        <v>20816</v>
      </c>
      <c r="S61" s="62">
        <f>+U60</f>
        <v>24731</v>
      </c>
      <c r="T61" s="62">
        <f>+AB60</f>
        <v>20612</v>
      </c>
      <c r="U61" s="62">
        <f>+W60</f>
        <v>24144</v>
      </c>
      <c r="V61" s="62">
        <f>+AD60</f>
        <v>20222</v>
      </c>
      <c r="W61" s="62">
        <f>+Y60</f>
        <v>23552</v>
      </c>
      <c r="X61" s="35">
        <f>+AF60</f>
        <v>18684</v>
      </c>
      <c r="Y61" s="62">
        <f>+AA60</f>
        <v>20816</v>
      </c>
      <c r="Z61" s="62">
        <v>18593</v>
      </c>
      <c r="AA61" s="62">
        <f>+AC60</f>
        <v>20612</v>
      </c>
      <c r="AB61" s="35">
        <v>18585</v>
      </c>
      <c r="AC61" s="62">
        <f>+AE60</f>
        <v>20222</v>
      </c>
      <c r="AD61" s="35">
        <v>18053</v>
      </c>
      <c r="AE61" s="62">
        <f>+AF60</f>
        <v>18684</v>
      </c>
      <c r="AF61" s="62">
        <v>18959</v>
      </c>
    </row>
    <row r="62" spans="1:32" x14ac:dyDescent="0.25">
      <c r="A62" s="9" t="s">
        <v>56</v>
      </c>
      <c r="B62" s="10">
        <f t="shared" ref="B62:C62" si="29">B60-B61</f>
        <v>-78</v>
      </c>
      <c r="C62" s="10">
        <f t="shared" si="29"/>
        <v>-1289</v>
      </c>
      <c r="D62" s="10">
        <v>930</v>
      </c>
      <c r="E62" s="10">
        <v>1343</v>
      </c>
      <c r="F62" s="10">
        <f t="shared" ref="F62" si="30">F60-F61</f>
        <v>-463</v>
      </c>
      <c r="G62" s="10">
        <f>G60-G61</f>
        <v>231</v>
      </c>
      <c r="H62" s="10">
        <f>+H60-H61</f>
        <v>-446</v>
      </c>
      <c r="I62" s="10">
        <f>+I60-I61</f>
        <v>-363</v>
      </c>
      <c r="J62" s="10">
        <v>894</v>
      </c>
      <c r="K62" s="10">
        <v>-281</v>
      </c>
      <c r="L62" s="10">
        <f>L60-L61</f>
        <v>596</v>
      </c>
      <c r="M62" s="10">
        <f t="shared" ref="M62:AF62" si="31">M60-M61</f>
        <v>-50</v>
      </c>
      <c r="N62" s="10">
        <f t="shared" si="31"/>
        <v>1233</v>
      </c>
      <c r="O62" s="10">
        <f t="shared" si="31"/>
        <v>248</v>
      </c>
      <c r="P62" s="10">
        <f t="shared" si="31"/>
        <v>1577</v>
      </c>
      <c r="Q62" s="10">
        <f t="shared" si="31"/>
        <v>977</v>
      </c>
      <c r="R62" s="10">
        <f t="shared" si="31"/>
        <v>3336</v>
      </c>
      <c r="S62" s="10">
        <f t="shared" si="31"/>
        <v>-579</v>
      </c>
      <c r="T62" s="10">
        <f t="shared" si="31"/>
        <v>4119</v>
      </c>
      <c r="U62" s="10">
        <f t="shared" si="31"/>
        <v>587</v>
      </c>
      <c r="V62" s="10">
        <f t="shared" si="31"/>
        <v>3922</v>
      </c>
      <c r="W62" s="10">
        <f t="shared" si="31"/>
        <v>592</v>
      </c>
      <c r="X62" s="10">
        <f t="shared" si="31"/>
        <v>4868</v>
      </c>
      <c r="Y62" s="10">
        <f t="shared" si="31"/>
        <v>2736</v>
      </c>
      <c r="Z62" s="10">
        <f t="shared" si="31"/>
        <v>2223</v>
      </c>
      <c r="AA62" s="10">
        <f t="shared" si="31"/>
        <v>204</v>
      </c>
      <c r="AB62" s="10">
        <f t="shared" si="31"/>
        <v>2027</v>
      </c>
      <c r="AC62" s="10">
        <f t="shared" si="31"/>
        <v>390</v>
      </c>
      <c r="AD62" s="10">
        <f t="shared" si="31"/>
        <v>2169</v>
      </c>
      <c r="AE62" s="10">
        <f t="shared" si="31"/>
        <v>1538</v>
      </c>
      <c r="AF62" s="10">
        <f t="shared" si="31"/>
        <v>-275</v>
      </c>
    </row>
    <row r="63" spans="1:3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8"/>
      <c r="M63" s="9"/>
      <c r="N63" s="8"/>
      <c r="P63" s="9"/>
      <c r="Q63" s="8"/>
      <c r="S63" s="8"/>
      <c r="V63" s="8"/>
      <c r="W63" s="8"/>
      <c r="AA63" s="8"/>
      <c r="AC63" s="8"/>
    </row>
    <row r="64" spans="1:32" ht="15.75" thickBot="1" x14ac:dyDescent="0.3">
      <c r="A64" s="54" t="s">
        <v>57</v>
      </c>
      <c r="B64" s="55">
        <f>+B62/B61</f>
        <v>-3.114269743671644E-3</v>
      </c>
      <c r="C64" s="55">
        <f>+C62/C61</f>
        <v>-4.9091670792550557E-2</v>
      </c>
      <c r="D64" s="55">
        <v>3.6719706242350061E-2</v>
      </c>
      <c r="E64" s="55">
        <v>5.3905434695352014E-2</v>
      </c>
      <c r="F64" s="55">
        <f t="shared" ref="F64:G64" si="32">F62/F61</f>
        <v>-1.8244867399613823E-2</v>
      </c>
      <c r="G64" s="55">
        <f t="shared" si="32"/>
        <v>9.3586679090872267E-3</v>
      </c>
      <c r="H64" s="55">
        <f>H62/H61</f>
        <v>-1.7748418162282623E-2</v>
      </c>
      <c r="I64" s="55">
        <f t="shared" ref="I64:AF64" si="33">I62/I61</f>
        <v>-1.4493332268625729E-2</v>
      </c>
      <c r="J64" s="55">
        <f t="shared" si="33"/>
        <v>3.7015568068896984E-2</v>
      </c>
      <c r="K64" s="55">
        <f t="shared" si="33"/>
        <v>-1.109487898290362E-2</v>
      </c>
      <c r="L64" s="55">
        <f t="shared" si="33"/>
        <v>2.4099308560106749E-2</v>
      </c>
      <c r="M64" s="56">
        <f t="shared" si="33"/>
        <v>-1.9702880561138039E-3</v>
      </c>
      <c r="N64" s="55">
        <f t="shared" si="33"/>
        <v>5.106858846918489E-2</v>
      </c>
      <c r="O64" s="55">
        <f t="shared" si="33"/>
        <v>9.8690755700584984E-3</v>
      </c>
      <c r="P64" s="56">
        <f t="shared" si="33"/>
        <v>6.6958220108695649E-2</v>
      </c>
      <c r="Q64" s="55">
        <f t="shared" si="33"/>
        <v>4.0452136469029482E-2</v>
      </c>
      <c r="R64" s="55">
        <f t="shared" si="33"/>
        <v>0.16026133743274404</v>
      </c>
      <c r="S64" s="55">
        <f t="shared" si="33"/>
        <v>-2.3411912175003033E-2</v>
      </c>
      <c r="T64" s="55">
        <f t="shared" si="33"/>
        <v>0.19983504754511935</v>
      </c>
      <c r="U64" s="55">
        <f t="shared" si="33"/>
        <v>2.4312458581842281E-2</v>
      </c>
      <c r="V64" s="55">
        <f t="shared" si="33"/>
        <v>0.19394718623281573</v>
      </c>
      <c r="W64" s="55">
        <f t="shared" si="33"/>
        <v>2.5135869565217392E-2</v>
      </c>
      <c r="X64" s="55">
        <f t="shared" si="33"/>
        <v>0.26054378077499463</v>
      </c>
      <c r="Y64" s="55">
        <f t="shared" si="33"/>
        <v>0.13143735588009223</v>
      </c>
      <c r="Z64" s="55">
        <f t="shared" si="33"/>
        <v>0.11956112515462809</v>
      </c>
      <c r="AA64" s="55">
        <f t="shared" si="33"/>
        <v>9.897147292839123E-3</v>
      </c>
      <c r="AB64" s="55">
        <f t="shared" si="33"/>
        <v>0.1090664514393328</v>
      </c>
      <c r="AC64" s="55">
        <f t="shared" si="33"/>
        <v>1.9285926218969438E-2</v>
      </c>
      <c r="AD64" s="55">
        <f t="shared" si="33"/>
        <v>0.12014623608264555</v>
      </c>
      <c r="AE64" s="55">
        <f t="shared" si="33"/>
        <v>8.2316420466709478E-2</v>
      </c>
      <c r="AF64" s="55">
        <f t="shared" si="33"/>
        <v>-1.45049844401076E-2</v>
      </c>
    </row>
    <row r="67" spans="1:32" x14ac:dyDescent="0.25">
      <c r="A67" s="63" t="s">
        <v>58</v>
      </c>
      <c r="B67" s="59">
        <v>39322.92140485</v>
      </c>
      <c r="C67" s="59">
        <f>+B67</f>
        <v>39322.92140485</v>
      </c>
      <c r="D67" s="59">
        <v>39114</v>
      </c>
      <c r="E67" s="59">
        <v>39114</v>
      </c>
      <c r="F67" s="59">
        <v>38250</v>
      </c>
      <c r="G67" s="59">
        <f>+F67</f>
        <v>38250</v>
      </c>
      <c r="H67" s="59">
        <v>37982</v>
      </c>
      <c r="I67" s="59">
        <f>+H67</f>
        <v>37982</v>
      </c>
      <c r="J67" s="59">
        <v>37453</v>
      </c>
      <c r="K67" s="60">
        <v>37453</v>
      </c>
      <c r="L67" s="59">
        <v>37408</v>
      </c>
      <c r="M67" s="59">
        <f>+L67</f>
        <v>37408</v>
      </c>
      <c r="N67" s="60">
        <v>37426</v>
      </c>
      <c r="O67" s="59">
        <f>+N67</f>
        <v>37426</v>
      </c>
      <c r="P67" s="59">
        <v>37347</v>
      </c>
      <c r="Q67" s="60">
        <f>+P67</f>
        <v>37347</v>
      </c>
      <c r="R67" s="59">
        <v>36810</v>
      </c>
      <c r="S67" s="60">
        <f>+R67</f>
        <v>36810</v>
      </c>
      <c r="T67" s="60">
        <v>36867</v>
      </c>
      <c r="U67" s="60">
        <f>+T67</f>
        <v>36867</v>
      </c>
      <c r="V67" s="60">
        <v>36910</v>
      </c>
      <c r="W67" s="60">
        <f>+V67</f>
        <v>36910</v>
      </c>
      <c r="X67" s="59">
        <v>37005</v>
      </c>
      <c r="Y67" s="60">
        <f>+X67</f>
        <v>37005</v>
      </c>
      <c r="Z67" s="59">
        <v>28324</v>
      </c>
      <c r="AA67" s="60">
        <f>+Z67</f>
        <v>28324</v>
      </c>
      <c r="AB67" s="59">
        <v>27328</v>
      </c>
      <c r="AC67" s="60">
        <f>+AB67</f>
        <v>27328</v>
      </c>
      <c r="AD67" s="59">
        <v>27126</v>
      </c>
      <c r="AE67" s="60">
        <v>27126</v>
      </c>
      <c r="AF67" s="60">
        <v>27689</v>
      </c>
    </row>
    <row r="68" spans="1:32" x14ac:dyDescent="0.25">
      <c r="A68" s="64" t="s">
        <v>59</v>
      </c>
      <c r="B68" s="35">
        <f>+J67</f>
        <v>37453</v>
      </c>
      <c r="C68" s="35">
        <f>+E67</f>
        <v>39114</v>
      </c>
      <c r="D68" s="35">
        <v>37408</v>
      </c>
      <c r="E68" s="35">
        <v>38250</v>
      </c>
      <c r="F68" s="35">
        <f>+N67</f>
        <v>37426</v>
      </c>
      <c r="G68" s="35">
        <f>+I67</f>
        <v>37982</v>
      </c>
      <c r="H68" s="35">
        <f>+P67</f>
        <v>37347</v>
      </c>
      <c r="I68" s="35">
        <f>+K67</f>
        <v>37453</v>
      </c>
      <c r="J68" s="35">
        <v>36810</v>
      </c>
      <c r="K68" s="62">
        <v>37408</v>
      </c>
      <c r="L68" s="35">
        <f>+T67</f>
        <v>36867</v>
      </c>
      <c r="M68" s="35">
        <f>+O67</f>
        <v>37426</v>
      </c>
      <c r="N68" s="62">
        <f>+V67</f>
        <v>36910</v>
      </c>
      <c r="O68" s="35">
        <f>+Q67</f>
        <v>37347</v>
      </c>
      <c r="P68" s="35">
        <f>X67</f>
        <v>37005</v>
      </c>
      <c r="Q68" s="62">
        <f>+S67</f>
        <v>36810</v>
      </c>
      <c r="R68" s="35">
        <f>+Z67</f>
        <v>28324</v>
      </c>
      <c r="S68" s="62">
        <f>+U67</f>
        <v>36867</v>
      </c>
      <c r="T68" s="62">
        <f>+AB67</f>
        <v>27328</v>
      </c>
      <c r="U68" s="62">
        <f>+W67</f>
        <v>36910</v>
      </c>
      <c r="V68" s="62">
        <f>+AD67</f>
        <v>27126</v>
      </c>
      <c r="W68" s="62">
        <f>+Y67</f>
        <v>37005</v>
      </c>
      <c r="X68" s="35">
        <f>+AF67</f>
        <v>27689</v>
      </c>
      <c r="Y68" s="62">
        <f>+AA67</f>
        <v>28324</v>
      </c>
      <c r="Z68" s="35">
        <v>27699</v>
      </c>
      <c r="AA68" s="62">
        <f>+AC67</f>
        <v>27328</v>
      </c>
      <c r="AB68" s="35">
        <v>27556</v>
      </c>
      <c r="AC68" s="62">
        <f>+AE67</f>
        <v>27126</v>
      </c>
      <c r="AD68" s="35">
        <v>27734</v>
      </c>
      <c r="AE68" s="62">
        <f>+AF67</f>
        <v>27689</v>
      </c>
      <c r="AF68" s="62">
        <v>27655</v>
      </c>
    </row>
    <row r="69" spans="1:32" x14ac:dyDescent="0.25">
      <c r="A69" t="s">
        <v>60</v>
      </c>
      <c r="B69" s="60">
        <f>B67-B68</f>
        <v>1869.9214048499998</v>
      </c>
      <c r="C69" s="60">
        <f t="shared" ref="C69" si="34">C67-C68</f>
        <v>208.92140484999982</v>
      </c>
      <c r="D69" s="60">
        <v>1706</v>
      </c>
      <c r="E69" s="60">
        <v>864</v>
      </c>
      <c r="F69" s="60">
        <f t="shared" ref="F69:G69" si="35">F67-F68</f>
        <v>824</v>
      </c>
      <c r="G69" s="60">
        <f t="shared" si="35"/>
        <v>268</v>
      </c>
      <c r="H69" s="60">
        <f>H67-H68</f>
        <v>635</v>
      </c>
      <c r="I69" s="60">
        <f t="shared" ref="I69:K69" si="36">I67-I68</f>
        <v>529</v>
      </c>
      <c r="J69" s="60">
        <f t="shared" si="36"/>
        <v>643</v>
      </c>
      <c r="K69" s="60">
        <f t="shared" si="36"/>
        <v>45</v>
      </c>
      <c r="L69" s="60">
        <f>L67-L68</f>
        <v>541</v>
      </c>
      <c r="M69" s="59">
        <f t="shared" ref="M69:AF69" si="37">M67-M68</f>
        <v>-18</v>
      </c>
      <c r="N69" s="60">
        <f t="shared" si="37"/>
        <v>516</v>
      </c>
      <c r="O69" s="60">
        <f t="shared" si="37"/>
        <v>79</v>
      </c>
      <c r="P69" s="59">
        <f t="shared" si="37"/>
        <v>342</v>
      </c>
      <c r="Q69" s="60">
        <f t="shared" si="37"/>
        <v>537</v>
      </c>
      <c r="R69" s="60">
        <f t="shared" si="37"/>
        <v>8486</v>
      </c>
      <c r="S69" s="60">
        <f t="shared" si="37"/>
        <v>-57</v>
      </c>
      <c r="T69" s="60">
        <f t="shared" si="37"/>
        <v>9539</v>
      </c>
      <c r="U69" s="60">
        <f t="shared" si="37"/>
        <v>-43</v>
      </c>
      <c r="V69" s="60">
        <f t="shared" si="37"/>
        <v>9784</v>
      </c>
      <c r="W69" s="60">
        <f t="shared" si="37"/>
        <v>-95</v>
      </c>
      <c r="X69" s="60">
        <f t="shared" si="37"/>
        <v>9316</v>
      </c>
      <c r="Y69" s="60">
        <f t="shared" si="37"/>
        <v>8681</v>
      </c>
      <c r="Z69" s="60">
        <f t="shared" si="37"/>
        <v>625</v>
      </c>
      <c r="AA69" s="60">
        <f t="shared" si="37"/>
        <v>996</v>
      </c>
      <c r="AB69" s="60">
        <f t="shared" si="37"/>
        <v>-228</v>
      </c>
      <c r="AC69" s="60">
        <f t="shared" si="37"/>
        <v>202</v>
      </c>
      <c r="AD69" s="60">
        <f t="shared" si="37"/>
        <v>-608</v>
      </c>
      <c r="AE69" s="60">
        <f t="shared" si="37"/>
        <v>-563</v>
      </c>
      <c r="AF69" s="60">
        <f t="shared" si="37"/>
        <v>34</v>
      </c>
    </row>
    <row r="70" spans="1:32" x14ac:dyDescent="0.25">
      <c r="A70" s="64" t="s">
        <v>61</v>
      </c>
      <c r="B70" s="35">
        <f>B68</f>
        <v>37453</v>
      </c>
      <c r="C70" s="35">
        <f t="shared" ref="C70" si="38">C68</f>
        <v>39114</v>
      </c>
      <c r="D70" s="35">
        <v>37408</v>
      </c>
      <c r="E70" s="35">
        <v>38250</v>
      </c>
      <c r="F70" s="35">
        <f>F68</f>
        <v>37426</v>
      </c>
      <c r="G70" s="35">
        <f t="shared" ref="G70:K70" si="39">G68</f>
        <v>37982</v>
      </c>
      <c r="H70" s="35">
        <f t="shared" si="39"/>
        <v>37347</v>
      </c>
      <c r="I70" s="35">
        <f t="shared" si="39"/>
        <v>37453</v>
      </c>
      <c r="J70" s="35">
        <f t="shared" si="39"/>
        <v>36810</v>
      </c>
      <c r="K70" s="35">
        <f t="shared" si="39"/>
        <v>37408</v>
      </c>
      <c r="L70" s="35">
        <f>L68</f>
        <v>36867</v>
      </c>
      <c r="M70" s="35">
        <f>M68</f>
        <v>37426</v>
      </c>
      <c r="N70" s="35">
        <f t="shared" ref="N70:AF70" si="40">N68</f>
        <v>36910</v>
      </c>
      <c r="O70" s="35">
        <f t="shared" si="40"/>
        <v>37347</v>
      </c>
      <c r="P70" s="35">
        <f t="shared" si="40"/>
        <v>37005</v>
      </c>
      <c r="Q70" s="35">
        <f t="shared" si="40"/>
        <v>36810</v>
      </c>
      <c r="R70" s="35">
        <f t="shared" si="40"/>
        <v>28324</v>
      </c>
      <c r="S70" s="35">
        <f t="shared" si="40"/>
        <v>36867</v>
      </c>
      <c r="T70" s="35">
        <f t="shared" si="40"/>
        <v>27328</v>
      </c>
      <c r="U70" s="35">
        <f t="shared" si="40"/>
        <v>36910</v>
      </c>
      <c r="V70" s="35">
        <f t="shared" si="40"/>
        <v>27126</v>
      </c>
      <c r="W70" s="35">
        <f t="shared" si="40"/>
        <v>37005</v>
      </c>
      <c r="X70" s="35">
        <f t="shared" si="40"/>
        <v>27689</v>
      </c>
      <c r="Y70" s="35">
        <f t="shared" si="40"/>
        <v>28324</v>
      </c>
      <c r="Z70" s="35">
        <f t="shared" si="40"/>
        <v>27699</v>
      </c>
      <c r="AA70" s="35">
        <f t="shared" si="40"/>
        <v>27328</v>
      </c>
      <c r="AB70" s="35">
        <f t="shared" si="40"/>
        <v>27556</v>
      </c>
      <c r="AC70" s="35">
        <f t="shared" si="40"/>
        <v>27126</v>
      </c>
      <c r="AD70" s="35">
        <f t="shared" si="40"/>
        <v>27734</v>
      </c>
      <c r="AE70" s="35">
        <f t="shared" si="40"/>
        <v>27689</v>
      </c>
      <c r="AF70" s="35">
        <f t="shared" si="40"/>
        <v>27655</v>
      </c>
    </row>
    <row r="71" spans="1:32" ht="15.75" thickBot="1" x14ac:dyDescent="0.3">
      <c r="A71" s="65" t="s">
        <v>62</v>
      </c>
      <c r="B71" s="66">
        <f>B69/B70</f>
        <v>4.9927146152511141E-2</v>
      </c>
      <c r="C71" s="66">
        <f>C69/C70</f>
        <v>5.34134593368103E-3</v>
      </c>
      <c r="D71" s="66">
        <v>4.5605218135158256E-2</v>
      </c>
      <c r="E71" s="66">
        <v>2.2588235294117649E-2</v>
      </c>
      <c r="F71" s="66">
        <f t="shared" ref="F71:G71" si="41">F69/F70</f>
        <v>2.2016779778763425E-2</v>
      </c>
      <c r="G71" s="66">
        <f t="shared" si="41"/>
        <v>7.0559738823653311E-3</v>
      </c>
      <c r="H71" s="66">
        <f>H69/H70</f>
        <v>1.700270436715131E-2</v>
      </c>
      <c r="I71" s="66">
        <f t="shared" ref="I71:AF71" si="42">I69/I70</f>
        <v>1.4124369209409127E-2</v>
      </c>
      <c r="J71" s="66">
        <f t="shared" si="42"/>
        <v>1.7468079326270036E-2</v>
      </c>
      <c r="K71" s="66">
        <f t="shared" si="42"/>
        <v>1.2029512403763901E-3</v>
      </c>
      <c r="L71" s="66">
        <f t="shared" si="42"/>
        <v>1.4674370032820679E-2</v>
      </c>
      <c r="M71" s="66">
        <f t="shared" si="42"/>
        <v>-4.8094907283706515E-4</v>
      </c>
      <c r="N71" s="66">
        <f t="shared" si="42"/>
        <v>1.3979951232728258E-2</v>
      </c>
      <c r="O71" s="66">
        <f t="shared" si="42"/>
        <v>2.1152970787479582E-3</v>
      </c>
      <c r="P71" s="66">
        <f t="shared" si="42"/>
        <v>9.2419943250912039E-3</v>
      </c>
      <c r="Q71" s="66">
        <f t="shared" si="42"/>
        <v>1.4588427057864711E-2</v>
      </c>
      <c r="R71" s="66">
        <f t="shared" si="42"/>
        <v>0.29960457562491172</v>
      </c>
      <c r="S71" s="66">
        <f t="shared" si="42"/>
        <v>-1.5460981365448775E-3</v>
      </c>
      <c r="T71" s="66">
        <f t="shared" si="42"/>
        <v>0.34905591334894615</v>
      </c>
      <c r="U71" s="66">
        <f t="shared" si="42"/>
        <v>-1.1649959360606882E-3</v>
      </c>
      <c r="V71" s="66">
        <f t="shared" si="42"/>
        <v>0.36068716360687164</v>
      </c>
      <c r="W71" s="66">
        <f t="shared" si="42"/>
        <v>-2.5672206458586676E-3</v>
      </c>
      <c r="X71" s="66">
        <f t="shared" si="42"/>
        <v>0.33645129834952509</v>
      </c>
      <c r="Y71" s="66">
        <f t="shared" si="42"/>
        <v>0.30648919644118061</v>
      </c>
      <c r="Z71" s="66">
        <f t="shared" si="42"/>
        <v>2.2563991479836818E-2</v>
      </c>
      <c r="AA71" s="66">
        <f t="shared" si="42"/>
        <v>3.6446135831381732E-2</v>
      </c>
      <c r="AB71" s="66">
        <f t="shared" si="42"/>
        <v>-8.2740600958049072E-3</v>
      </c>
      <c r="AC71" s="66">
        <f t="shared" si="42"/>
        <v>7.4467300744673007E-3</v>
      </c>
      <c r="AD71" s="66">
        <f t="shared" si="42"/>
        <v>-2.1922549938703396E-2</v>
      </c>
      <c r="AE71" s="66">
        <f t="shared" si="42"/>
        <v>-2.033298421755932E-2</v>
      </c>
      <c r="AF71" s="66">
        <f t="shared" si="42"/>
        <v>1.2294340987163261E-3</v>
      </c>
    </row>
    <row r="74" spans="1:32" x14ac:dyDescent="0.25">
      <c r="A74" t="s">
        <v>63</v>
      </c>
      <c r="B74" s="10">
        <v>76</v>
      </c>
      <c r="C74" s="10">
        <v>16.600000000000001</v>
      </c>
      <c r="D74" s="10">
        <v>59.4</v>
      </c>
      <c r="E74" s="10">
        <v>6.3999999999999986</v>
      </c>
      <c r="F74" s="10">
        <f>+G74</f>
        <v>53</v>
      </c>
      <c r="G74" s="10">
        <v>53</v>
      </c>
      <c r="H74" s="10">
        <f>+I74+K74+M74+O74</f>
        <v>101</v>
      </c>
      <c r="I74" s="10">
        <v>43</v>
      </c>
      <c r="J74" s="10">
        <v>57</v>
      </c>
      <c r="K74" s="10">
        <v>11</v>
      </c>
      <c r="L74" s="10">
        <v>46</v>
      </c>
      <c r="M74" s="10">
        <v>37</v>
      </c>
      <c r="N74" s="10">
        <f>+O74</f>
        <v>10</v>
      </c>
      <c r="O74" s="10">
        <v>10</v>
      </c>
      <c r="P74" s="10">
        <v>11</v>
      </c>
      <c r="Q74" s="10">
        <v>6</v>
      </c>
      <c r="R74" s="10">
        <f>+S74+U74+W74</f>
        <v>5</v>
      </c>
      <c r="S74" s="10">
        <v>2</v>
      </c>
      <c r="T74" s="10">
        <f>+U74+W74</f>
        <v>3</v>
      </c>
      <c r="U74" s="10">
        <v>2</v>
      </c>
      <c r="V74" s="10">
        <f>+W74</f>
        <v>1</v>
      </c>
      <c r="W74" s="10">
        <v>1</v>
      </c>
      <c r="X74" s="10">
        <v>64</v>
      </c>
      <c r="Y74" s="10">
        <v>35</v>
      </c>
      <c r="Z74" s="10">
        <v>29</v>
      </c>
      <c r="AA74" s="10">
        <v>19</v>
      </c>
      <c r="AB74" s="10">
        <v>10</v>
      </c>
      <c r="AC74" s="10">
        <v>7</v>
      </c>
      <c r="AD74" s="10">
        <v>3</v>
      </c>
      <c r="AE74" s="10">
        <v>3</v>
      </c>
      <c r="AF74" s="10">
        <v>-5</v>
      </c>
    </row>
    <row r="75" spans="1:32" x14ac:dyDescent="0.25">
      <c r="A75" t="s">
        <v>64</v>
      </c>
      <c r="B75" s="10">
        <f>+B74/3*4</f>
        <v>101.33333333333333</v>
      </c>
      <c r="C75" s="10">
        <f>+C74*4</f>
        <v>66.400000000000006</v>
      </c>
      <c r="D75" s="10">
        <v>118.8</v>
      </c>
      <c r="E75" s="10">
        <v>25.599999999999994</v>
      </c>
      <c r="F75" s="10">
        <f>+F74*4</f>
        <v>212</v>
      </c>
      <c r="G75" s="10">
        <f>+G74*4</f>
        <v>212</v>
      </c>
      <c r="H75" s="10">
        <f>+H74</f>
        <v>101</v>
      </c>
      <c r="I75" s="10">
        <f>+I74*4</f>
        <v>172</v>
      </c>
      <c r="J75" s="10">
        <v>75.999999999999801</v>
      </c>
      <c r="K75" s="10">
        <v>44</v>
      </c>
      <c r="L75" s="10">
        <f>+L74/2*4</f>
        <v>92</v>
      </c>
      <c r="M75" s="10">
        <f>+M74*4</f>
        <v>148</v>
      </c>
      <c r="N75" s="10">
        <f>+N74*4</f>
        <v>40</v>
      </c>
      <c r="O75" s="10">
        <f>+O74*4</f>
        <v>40</v>
      </c>
      <c r="P75" s="10">
        <f>+P74</f>
        <v>11</v>
      </c>
      <c r="Q75" s="10">
        <f>+Q74*4</f>
        <v>24</v>
      </c>
      <c r="R75" s="10">
        <f>+R74*1.33333333333333</f>
        <v>6.6666666666666501</v>
      </c>
      <c r="S75" s="10">
        <f>+S74*4</f>
        <v>8</v>
      </c>
      <c r="T75" s="10">
        <f>+T74/2*4</f>
        <v>6</v>
      </c>
      <c r="U75" s="10">
        <f>+U74*4</f>
        <v>8</v>
      </c>
      <c r="V75" s="10">
        <f>+V74*4</f>
        <v>4</v>
      </c>
      <c r="W75" s="10">
        <f>+W74*4</f>
        <v>4</v>
      </c>
      <c r="X75" s="10">
        <f>+X74</f>
        <v>64</v>
      </c>
      <c r="Y75" s="10">
        <f>+Y74*4</f>
        <v>140</v>
      </c>
      <c r="Z75" s="10">
        <f>+Z74*1.33333333333333</f>
        <v>38.666666666666565</v>
      </c>
      <c r="AA75" s="10">
        <f>+AA74*4</f>
        <v>76</v>
      </c>
      <c r="AB75" s="10">
        <f>+AB74*2</f>
        <v>20</v>
      </c>
      <c r="AC75" s="10">
        <f>+AC74*4</f>
        <v>28</v>
      </c>
      <c r="AD75" s="10">
        <f>+AD74*4</f>
        <v>12</v>
      </c>
      <c r="AE75" s="10">
        <f>+AE74*4</f>
        <v>12</v>
      </c>
      <c r="AF75" s="10">
        <f>+AF74</f>
        <v>-5</v>
      </c>
    </row>
    <row r="76" spans="1:32" x14ac:dyDescent="0.25">
      <c r="A76" s="64" t="s">
        <v>65</v>
      </c>
      <c r="B76" s="13">
        <f>+(B67+D67+F67+H67)/4</f>
        <v>38667.2303512125</v>
      </c>
      <c r="C76" s="13">
        <f>+(C67+E67)/2</f>
        <v>39218.460702425</v>
      </c>
      <c r="D76" s="13">
        <v>38448.666666666664</v>
      </c>
      <c r="E76" s="13">
        <v>38682</v>
      </c>
      <c r="F76" s="13">
        <f>+(F67+H67)/2</f>
        <v>38116</v>
      </c>
      <c r="G76" s="13">
        <f>+(G67+I67)/2</f>
        <v>38116</v>
      </c>
      <c r="H76" s="13">
        <f>(H67+L67+J67+N67+P67)/5</f>
        <v>37523.199999999997</v>
      </c>
      <c r="I76" s="13">
        <f>+(I67+K67)/2</f>
        <v>37717.5</v>
      </c>
      <c r="J76" s="13">
        <v>37408.5</v>
      </c>
      <c r="K76" s="14">
        <f>+(K67+M67)/2</f>
        <v>37430.5</v>
      </c>
      <c r="L76" s="13">
        <f>+(L67+N67+P67)/3</f>
        <v>37393.666666666664</v>
      </c>
      <c r="M76" s="13">
        <f>+(M67+O67)/2</f>
        <v>37417</v>
      </c>
      <c r="N76" s="14">
        <f>+(N67+P67)/2</f>
        <v>37386.5</v>
      </c>
      <c r="O76" s="13">
        <f>+(O67+Q67)/2</f>
        <v>37386.5</v>
      </c>
      <c r="P76" s="13">
        <f>(P67+T67+R67+V67+X67)/5</f>
        <v>36987.800000000003</v>
      </c>
      <c r="Q76" s="14">
        <f>(P67+R67)/2</f>
        <v>37078.5</v>
      </c>
      <c r="R76" s="13">
        <f>+(R67+T67+V67+X67)/4</f>
        <v>36898</v>
      </c>
      <c r="S76" s="14">
        <f>+(S67+U67)/2</f>
        <v>36838.5</v>
      </c>
      <c r="T76" s="14">
        <f>+(T67+V67+X67)/3</f>
        <v>36927.333333333336</v>
      </c>
      <c r="U76" s="14">
        <f>+(U67+W67)/2</f>
        <v>36888.5</v>
      </c>
      <c r="V76" s="14">
        <f>+(V67+X67)/2</f>
        <v>36957.5</v>
      </c>
      <c r="W76" s="14">
        <f>+(W67+Y67)/2</f>
        <v>36957.5</v>
      </c>
      <c r="X76" s="13">
        <f>(X67+AB67+Z67+AD67+AF67)/5</f>
        <v>29494.400000000001</v>
      </c>
      <c r="Y76" s="14">
        <f>+(Y67+AA67)/2</f>
        <v>32664.5</v>
      </c>
      <c r="Z76" s="13">
        <f>+(Z67+AB67+AD67+AF67)/4</f>
        <v>27616.75</v>
      </c>
      <c r="AA76" s="14">
        <f>+(AA67+AC67)/2</f>
        <v>27826</v>
      </c>
      <c r="AB76" s="14">
        <f>+(AB67+AD67+AF67)/3</f>
        <v>27381</v>
      </c>
      <c r="AC76" s="14">
        <f>+(AC67+AE67)/2</f>
        <v>27227</v>
      </c>
      <c r="AD76" s="14">
        <f>+(AD67+AF67)/2</f>
        <v>27407.5</v>
      </c>
      <c r="AE76" s="14">
        <f>+(AE67+AF67)/2</f>
        <v>27407.5</v>
      </c>
      <c r="AF76" s="14">
        <f>+(27398+27393+27187+27380+27320)/5</f>
        <v>27335.599999999999</v>
      </c>
    </row>
    <row r="77" spans="1:32" s="42" customFormat="1" ht="15.75" thickBot="1" x14ac:dyDescent="0.3">
      <c r="A77" s="40" t="s">
        <v>66</v>
      </c>
      <c r="B77" s="67">
        <f>B75/B76</f>
        <v>2.6206514511881969E-3</v>
      </c>
      <c r="C77" s="67">
        <f t="shared" ref="C77" si="43">C75/C76</f>
        <v>1.6930802181099956E-3</v>
      </c>
      <c r="D77" s="67">
        <v>3.0898340644669084E-3</v>
      </c>
      <c r="E77" s="67">
        <v>6.6180652499870729E-4</v>
      </c>
      <c r="F77" s="67">
        <f t="shared" ref="F77:G77" si="44">F75/F76</f>
        <v>5.5619687270437607E-3</v>
      </c>
      <c r="G77" s="67">
        <f t="shared" si="44"/>
        <v>5.5619687270437607E-3</v>
      </c>
      <c r="H77" s="67">
        <f>H75/H76</f>
        <v>2.6916680880095518E-3</v>
      </c>
      <c r="I77" s="67">
        <f>I75/I76</f>
        <v>4.560217405713528E-3</v>
      </c>
      <c r="J77" s="67">
        <f t="shared" ref="J77:AF77" si="45">J75/J76</f>
        <v>2.0316238288089553E-3</v>
      </c>
      <c r="K77" s="67">
        <f t="shared" si="45"/>
        <v>1.175511948811798E-3</v>
      </c>
      <c r="L77" s="67">
        <f t="shared" si="45"/>
        <v>2.4603096781094839E-3</v>
      </c>
      <c r="M77" s="67">
        <f t="shared" si="45"/>
        <v>3.9554213325493758E-3</v>
      </c>
      <c r="N77" s="67">
        <f t="shared" si="45"/>
        <v>1.0699049122009281E-3</v>
      </c>
      <c r="O77" s="67">
        <f t="shared" si="45"/>
        <v>1.0699049122009281E-3</v>
      </c>
      <c r="P77" s="67">
        <f t="shared" si="45"/>
        <v>2.9739535738811172E-4</v>
      </c>
      <c r="Q77" s="67">
        <f t="shared" si="45"/>
        <v>6.4727537521744403E-4</v>
      </c>
      <c r="R77" s="67">
        <f t="shared" si="45"/>
        <v>1.8067826621135698E-4</v>
      </c>
      <c r="S77" s="67">
        <f t="shared" si="45"/>
        <v>2.1716410820201692E-4</v>
      </c>
      <c r="T77" s="67">
        <f t="shared" si="45"/>
        <v>1.6248126952031917E-4</v>
      </c>
      <c r="U77" s="67">
        <f t="shared" si="45"/>
        <v>2.1686975615706791E-4</v>
      </c>
      <c r="V77" s="67">
        <f t="shared" si="45"/>
        <v>1.0823242914158154E-4</v>
      </c>
      <c r="W77" s="67">
        <f t="shared" si="45"/>
        <v>1.0823242914158154E-4</v>
      </c>
      <c r="X77" s="67">
        <f t="shared" si="45"/>
        <v>2.1699034392969512E-3</v>
      </c>
      <c r="Y77" s="67">
        <f t="shared" si="45"/>
        <v>4.2859985611290547E-3</v>
      </c>
      <c r="Z77" s="67">
        <f t="shared" si="45"/>
        <v>1.4001164752067701E-3</v>
      </c>
      <c r="AA77" s="67">
        <f t="shared" si="45"/>
        <v>2.7312585351829226E-3</v>
      </c>
      <c r="AB77" s="67">
        <f t="shared" si="45"/>
        <v>7.3043351228954385E-4</v>
      </c>
      <c r="AC77" s="67">
        <f t="shared" si="45"/>
        <v>1.0283909354684689E-3</v>
      </c>
      <c r="AD77" s="67">
        <f t="shared" si="45"/>
        <v>4.3783635866095048E-4</v>
      </c>
      <c r="AE77" s="67">
        <f t="shared" si="45"/>
        <v>4.3783635866095048E-4</v>
      </c>
      <c r="AF77" s="67">
        <f t="shared" si="45"/>
        <v>-1.8291166098421109E-4</v>
      </c>
    </row>
    <row r="79" spans="1:32" s="9" customFormat="1" x14ac:dyDescent="0.25">
      <c r="A79"/>
      <c r="B79" s="68"/>
      <c r="C79" s="45"/>
      <c r="D79" s="68"/>
      <c r="E79" s="68"/>
      <c r="F79" s="68"/>
      <c r="G79" s="68"/>
      <c r="H79" s="68"/>
      <c r="I79" s="68"/>
      <c r="J79" s="68"/>
      <c r="K79" s="11"/>
      <c r="L79" s="10"/>
      <c r="M79" s="10"/>
      <c r="N79" s="11"/>
      <c r="O79" s="10"/>
      <c r="P79" s="69"/>
      <c r="Q79" s="11"/>
      <c r="R79" s="69"/>
      <c r="S79" s="11"/>
      <c r="T79" s="11"/>
      <c r="U79" s="11"/>
      <c r="V79" s="11"/>
      <c r="W79" s="11"/>
      <c r="X79" s="10"/>
      <c r="Y79" s="11"/>
      <c r="Z79" s="69"/>
      <c r="AA79" s="11"/>
      <c r="AB79" s="10"/>
      <c r="AC79" s="11"/>
      <c r="AD79" s="10"/>
      <c r="AE79" s="11"/>
      <c r="AF79" s="11"/>
    </row>
    <row r="80" spans="1:32" x14ac:dyDescent="0.25">
      <c r="A80" s="9" t="s">
        <v>67</v>
      </c>
      <c r="B80" s="10">
        <v>37294</v>
      </c>
      <c r="C80" s="10"/>
      <c r="D80" s="10">
        <v>37885</v>
      </c>
      <c r="E80" s="10"/>
      <c r="F80" s="10">
        <v>37412</v>
      </c>
      <c r="G80" s="10"/>
      <c r="H80" s="10">
        <v>36860</v>
      </c>
      <c r="I80" s="10"/>
      <c r="J80" s="10">
        <v>37217</v>
      </c>
      <c r="K80" s="11"/>
      <c r="L80" s="10">
        <v>37466</v>
      </c>
      <c r="M80" s="10"/>
      <c r="N80" s="11">
        <v>38429</v>
      </c>
      <c r="O80" s="10"/>
      <c r="P80" s="10">
        <v>38624</v>
      </c>
      <c r="Q80" s="11"/>
      <c r="R80" s="10">
        <v>38287</v>
      </c>
      <c r="S80" s="11"/>
      <c r="T80" s="11">
        <v>39189</v>
      </c>
      <c r="U80" s="11"/>
      <c r="V80" s="11">
        <v>39636</v>
      </c>
      <c r="W80" s="11"/>
      <c r="X80" s="10">
        <v>39433</v>
      </c>
      <c r="Y80" s="11"/>
      <c r="Z80" s="10">
        <v>36588</v>
      </c>
      <c r="AA80" s="11"/>
      <c r="AB80" s="10">
        <v>34808</v>
      </c>
      <c r="AC80" s="11"/>
      <c r="AD80" s="10">
        <v>34627</v>
      </c>
      <c r="AE80" s="11"/>
      <c r="AF80" s="11">
        <v>33207</v>
      </c>
    </row>
    <row r="81" spans="1:32" ht="15.75" thickBot="1" x14ac:dyDescent="0.3">
      <c r="A81" s="65" t="s">
        <v>68</v>
      </c>
      <c r="B81" s="70">
        <f>+(B80+D80+F80+H80)/4</f>
        <v>37362.75</v>
      </c>
      <c r="C81" s="70"/>
      <c r="D81" s="70">
        <v>37385.666666666701</v>
      </c>
      <c r="E81" s="70"/>
      <c r="F81" s="70">
        <f>+(F80+H80)/2</f>
        <v>37136</v>
      </c>
      <c r="G81" s="70"/>
      <c r="H81" s="70">
        <f>+(H80+J80+L80+N80+P80)/5</f>
        <v>37719.199999999997</v>
      </c>
      <c r="I81" s="70"/>
      <c r="J81" s="70">
        <f>+(J80+L80+N80+P80)/4</f>
        <v>37934</v>
      </c>
      <c r="K81" s="70"/>
      <c r="L81" s="70">
        <f>+(L80+N80+P80)/3</f>
        <v>38173</v>
      </c>
      <c r="M81" s="70"/>
      <c r="N81" s="70">
        <f>+(N80+P80)/2</f>
        <v>38526.5</v>
      </c>
      <c r="O81" s="70"/>
      <c r="P81" s="70">
        <f>+(P80+R80+T80+V80+X80)/5</f>
        <v>39033.800000000003</v>
      </c>
      <c r="Q81" s="70"/>
      <c r="R81" s="70">
        <f>+(R80+T80+V80+X80)/4</f>
        <v>39136.25</v>
      </c>
      <c r="S81" s="70"/>
      <c r="T81" s="70">
        <f>+(T80+V80+X80)/3</f>
        <v>39419.333333333336</v>
      </c>
      <c r="U81" s="70"/>
      <c r="V81" s="70">
        <f>+(V80+X80)/2</f>
        <v>39534.5</v>
      </c>
      <c r="W81" s="70"/>
      <c r="X81" s="70">
        <f>+(X80+Z80+AB80+AD80+AF80)/5</f>
        <v>35732.6</v>
      </c>
      <c r="Y81" s="70"/>
      <c r="Z81" s="70">
        <f>+(Z80+AB80+AD80+AF80)/4</f>
        <v>34807.5</v>
      </c>
      <c r="AA81" s="70"/>
      <c r="AB81" s="70">
        <f>+(AB80+AD80+AF80)/3</f>
        <v>34214</v>
      </c>
      <c r="AC81" s="70"/>
      <c r="AD81" s="70">
        <f>+(AD80+AF80)/2</f>
        <v>33917</v>
      </c>
      <c r="AE81" s="70"/>
      <c r="AF81" s="70">
        <f>+(33207+33648+33834+33554+34068)/5</f>
        <v>33662.199999999997</v>
      </c>
    </row>
    <row r="82" spans="1:32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1"/>
      <c r="O82" s="10"/>
      <c r="P82" s="10"/>
      <c r="Q82" s="11"/>
      <c r="R82" s="10"/>
      <c r="S82" s="11"/>
      <c r="T82" s="11"/>
      <c r="U82" s="11"/>
      <c r="V82" s="11"/>
      <c r="W82" s="11"/>
      <c r="X82" s="10"/>
      <c r="Y82" s="11"/>
      <c r="Z82" s="10"/>
      <c r="AA82" s="11"/>
      <c r="AB82" s="10"/>
      <c r="AC82" s="11"/>
      <c r="AD82" s="10"/>
      <c r="AE82" s="11"/>
      <c r="AF82" s="11"/>
    </row>
    <row r="83" spans="1:32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1"/>
      <c r="O83" s="10"/>
      <c r="P83" s="10"/>
      <c r="Q83" s="11"/>
      <c r="R83" s="10"/>
      <c r="S83" s="11"/>
      <c r="T83" s="11"/>
      <c r="U83" s="11"/>
      <c r="V83" s="11"/>
      <c r="W83" s="11"/>
      <c r="X83" s="10"/>
      <c r="Y83" s="11"/>
      <c r="Z83" s="10"/>
      <c r="AA83" s="11"/>
      <c r="AB83" s="10"/>
      <c r="AC83" s="11"/>
      <c r="AD83" s="10"/>
      <c r="AE83" s="11"/>
      <c r="AF83" s="11"/>
    </row>
    <row r="84" spans="1:32" x14ac:dyDescent="0.25">
      <c r="A84" s="71" t="s">
        <v>69</v>
      </c>
      <c r="B84" s="10">
        <v>45833.221404850003</v>
      </c>
      <c r="C84" s="10"/>
      <c r="D84" s="10">
        <v>46420</v>
      </c>
      <c r="E84" s="10"/>
      <c r="F84" s="10">
        <v>45927</v>
      </c>
      <c r="G84" s="10"/>
      <c r="H84" s="10">
        <v>45419</v>
      </c>
      <c r="I84" s="10"/>
      <c r="J84" s="10">
        <v>45393</v>
      </c>
      <c r="K84" s="11"/>
      <c r="L84" s="10">
        <f>+L80+7861</f>
        <v>45327</v>
      </c>
      <c r="M84" s="10"/>
      <c r="N84" s="11">
        <f>7100+N80</f>
        <v>45529</v>
      </c>
      <c r="O84" s="10"/>
      <c r="P84" s="10">
        <f>+P80+6372</f>
        <v>44996</v>
      </c>
      <c r="Q84" s="11"/>
      <c r="R84" s="10">
        <f>5771+R80</f>
        <v>44058</v>
      </c>
      <c r="S84" s="11"/>
      <c r="T84" s="11">
        <f>+T80+5267</f>
        <v>44456</v>
      </c>
      <c r="U84" s="11"/>
      <c r="V84" s="11">
        <f>+V80+4790</f>
        <v>44426</v>
      </c>
      <c r="W84" s="11"/>
      <c r="X84" s="10">
        <f>4581+X80</f>
        <v>44014</v>
      </c>
      <c r="Y84" s="11"/>
      <c r="Z84" s="10">
        <f>+Z80</f>
        <v>36588</v>
      </c>
      <c r="AA84" s="11"/>
      <c r="AB84" s="10">
        <f>+AB80</f>
        <v>34808</v>
      </c>
      <c r="AC84" s="11"/>
      <c r="AD84" s="10">
        <f>+AD80</f>
        <v>34627</v>
      </c>
      <c r="AE84" s="11"/>
      <c r="AF84" s="11">
        <f>+AF80</f>
        <v>33207</v>
      </c>
    </row>
    <row r="85" spans="1:32" ht="15.75" thickBot="1" x14ac:dyDescent="0.3">
      <c r="A85" s="65" t="s">
        <v>70</v>
      </c>
      <c r="B85" s="70">
        <f>+(B84+D84+F84+H84)/4</f>
        <v>45899.805351212504</v>
      </c>
      <c r="C85" s="70"/>
      <c r="D85" s="70">
        <v>46173.5</v>
      </c>
      <c r="E85" s="70"/>
      <c r="F85" s="70">
        <f>+(F84+H84)/2</f>
        <v>45673</v>
      </c>
      <c r="G85" s="70"/>
      <c r="H85" s="70">
        <f>+(H84+J84+L84+N84+P84)/5</f>
        <v>45332.800000000003</v>
      </c>
      <c r="I85" s="70"/>
      <c r="J85" s="70">
        <f>+(J84+L84+N84+P84)/4</f>
        <v>45311.25</v>
      </c>
      <c r="K85" s="70"/>
      <c r="L85" s="70">
        <f>+(L84+N84+P84)/3</f>
        <v>45284</v>
      </c>
      <c r="M85" s="70"/>
      <c r="N85" s="70">
        <f>+(N84+P84)/2</f>
        <v>45262.5</v>
      </c>
      <c r="O85" s="70"/>
      <c r="P85" s="70">
        <f>+(P84+R84+T84+V84+X84)/5</f>
        <v>44390</v>
      </c>
      <c r="Q85" s="70"/>
      <c r="R85" s="70">
        <f>+(R84+T84+V84+X84)/4</f>
        <v>44238.5</v>
      </c>
      <c r="S85" s="70"/>
      <c r="T85" s="70">
        <f>+(T84+V84+X84)/3</f>
        <v>44298.666666666664</v>
      </c>
      <c r="U85" s="70"/>
      <c r="V85" s="70">
        <f>+(V84+X84)/2</f>
        <v>44220</v>
      </c>
      <c r="W85" s="70"/>
      <c r="X85" s="70">
        <f>+(X84+Z84+AB84+AD84+AF84)/5</f>
        <v>36648.800000000003</v>
      </c>
      <c r="Y85" s="70"/>
      <c r="Z85" s="70">
        <f>+(Z84+AB84+AD84+AF84)/4</f>
        <v>34807.5</v>
      </c>
      <c r="AA85" s="70"/>
      <c r="AB85" s="70">
        <f>+(AB84+AD84+AF84)/3</f>
        <v>34214</v>
      </c>
      <c r="AC85" s="70"/>
      <c r="AD85" s="70">
        <f>+(AD84+AF84)/2</f>
        <v>33917</v>
      </c>
      <c r="AE85" s="70"/>
      <c r="AF85" s="70">
        <f>+(33207+33648+33834+33554+34068)/5</f>
        <v>33662.199999999997</v>
      </c>
    </row>
    <row r="87" spans="1:32" x14ac:dyDescent="0.25">
      <c r="A87" s="71" t="s">
        <v>71</v>
      </c>
      <c r="B87" s="72">
        <v>1010.6666666666666</v>
      </c>
      <c r="C87" s="72">
        <v>1020</v>
      </c>
      <c r="D87" s="72">
        <v>1006</v>
      </c>
      <c r="E87" s="72">
        <v>996</v>
      </c>
      <c r="F87" s="72">
        <v>1016</v>
      </c>
      <c r="G87" s="72">
        <v>1016</v>
      </c>
      <c r="H87" s="9">
        <v>985</v>
      </c>
      <c r="I87" s="72">
        <v>1060</v>
      </c>
      <c r="J87" s="9">
        <v>960</v>
      </c>
      <c r="K87" s="73">
        <v>1015.2</v>
      </c>
      <c r="L87" s="9">
        <f>466*4/2</f>
        <v>932</v>
      </c>
      <c r="M87" s="9">
        <f>233*4</f>
        <v>932</v>
      </c>
      <c r="N87" s="8">
        <f>233*4</f>
        <v>932</v>
      </c>
      <c r="O87" s="9">
        <f>233*4</f>
        <v>932</v>
      </c>
      <c r="P87" s="9">
        <f>783*4/4</f>
        <v>783</v>
      </c>
      <c r="Q87" s="8">
        <f>223*4</f>
        <v>892</v>
      </c>
      <c r="R87" s="72">
        <f>566*4/3</f>
        <v>754.66666666666663</v>
      </c>
      <c r="S87" s="8">
        <f>202*4</f>
        <v>808</v>
      </c>
      <c r="T87" s="8">
        <f>358*4/2</f>
        <v>716</v>
      </c>
      <c r="U87" s="8">
        <f>184*4</f>
        <v>736</v>
      </c>
      <c r="V87" s="8">
        <f>174*4/1</f>
        <v>696</v>
      </c>
      <c r="W87" s="8">
        <f>174*4</f>
        <v>696</v>
      </c>
      <c r="X87" s="9">
        <f>604*4/4</f>
        <v>604</v>
      </c>
      <c r="Y87" s="8">
        <f>+(X87-436)*4</f>
        <v>672</v>
      </c>
      <c r="Z87" s="72">
        <f>436*4/3</f>
        <v>581.33333333333337</v>
      </c>
      <c r="AA87" s="8">
        <f>148*4</f>
        <v>592</v>
      </c>
      <c r="AB87" s="9">
        <f>288*4/2</f>
        <v>576</v>
      </c>
      <c r="AC87" s="8">
        <f>144*4</f>
        <v>576</v>
      </c>
      <c r="AD87" s="9">
        <f>+AE87</f>
        <v>576</v>
      </c>
      <c r="AE87" s="8">
        <f>144*4</f>
        <v>576</v>
      </c>
      <c r="AF87" s="8">
        <v>598</v>
      </c>
    </row>
    <row r="88" spans="1:32" x14ac:dyDescent="0.25">
      <c r="A88" s="71" t="s">
        <v>72</v>
      </c>
      <c r="B88" s="59">
        <f>+B81</f>
        <v>37362.75</v>
      </c>
      <c r="C88" s="59">
        <f>+(B80+D80)/2</f>
        <v>37589.5</v>
      </c>
      <c r="D88" s="59">
        <v>37385.666666666664</v>
      </c>
      <c r="E88" s="59">
        <v>37648.5</v>
      </c>
      <c r="F88" s="59">
        <f>+F81</f>
        <v>37136</v>
      </c>
      <c r="G88" s="59">
        <f>+(F80+H80)/2</f>
        <v>37136</v>
      </c>
      <c r="H88" s="59">
        <v>37719.199999999997</v>
      </c>
      <c r="I88" s="59">
        <f>+(H80+J80)/2</f>
        <v>37038.5</v>
      </c>
      <c r="J88" s="59">
        <f>+J81</f>
        <v>37934</v>
      </c>
      <c r="K88" s="59">
        <f>+(J80+L80)/2</f>
        <v>37341.5</v>
      </c>
      <c r="L88" s="59">
        <f>+L81</f>
        <v>38173</v>
      </c>
      <c r="M88" s="59">
        <f>+(L80+N80)/2</f>
        <v>37947.5</v>
      </c>
      <c r="N88" s="59">
        <f>+N81</f>
        <v>38526.5</v>
      </c>
      <c r="O88" s="59">
        <f>+(N80+P80)/2</f>
        <v>38526.5</v>
      </c>
      <c r="P88" s="59">
        <f t="shared" ref="P88:AF88" si="46">+P81</f>
        <v>39033.800000000003</v>
      </c>
      <c r="Q88" s="59">
        <f>+(P80+R80)/2</f>
        <v>38455.5</v>
      </c>
      <c r="R88" s="59">
        <f t="shared" si="46"/>
        <v>39136.25</v>
      </c>
      <c r="S88" s="59">
        <f>+(R80+T80)/2</f>
        <v>38738</v>
      </c>
      <c r="T88" s="59">
        <f t="shared" si="46"/>
        <v>39419.333333333336</v>
      </c>
      <c r="U88" s="59">
        <f>+(T80+V80)/2</f>
        <v>39412.5</v>
      </c>
      <c r="V88" s="59">
        <f t="shared" si="46"/>
        <v>39534.5</v>
      </c>
      <c r="W88" s="59">
        <f>+(V80+X80)/2</f>
        <v>39534.5</v>
      </c>
      <c r="X88" s="59">
        <f t="shared" si="46"/>
        <v>35732.6</v>
      </c>
      <c r="Y88" s="59">
        <f>+(X80+Z80)/2</f>
        <v>38010.5</v>
      </c>
      <c r="Z88" s="59">
        <f t="shared" si="46"/>
        <v>34807.5</v>
      </c>
      <c r="AA88" s="59">
        <f>+(Z80+AB80)/2</f>
        <v>35698</v>
      </c>
      <c r="AB88" s="59">
        <f t="shared" si="46"/>
        <v>34214</v>
      </c>
      <c r="AC88" s="59">
        <f>+(AB80+AD80)/2</f>
        <v>34717.5</v>
      </c>
      <c r="AD88" s="59">
        <f t="shared" si="46"/>
        <v>33917</v>
      </c>
      <c r="AE88" s="59">
        <f>+(AD80+AF80)/2</f>
        <v>33917</v>
      </c>
      <c r="AF88" s="59">
        <f t="shared" si="46"/>
        <v>33662.199999999997</v>
      </c>
    </row>
    <row r="89" spans="1:32" ht="15.75" thickBot="1" x14ac:dyDescent="0.3">
      <c r="A89" s="65" t="s">
        <v>73</v>
      </c>
      <c r="B89" s="67">
        <f t="shared" ref="B89" si="47">+B87/B88</f>
        <v>2.7050114530291977E-2</v>
      </c>
      <c r="C89" s="67">
        <f>+C87/C88</f>
        <v>2.7135237233801991E-2</v>
      </c>
      <c r="D89" s="67">
        <v>2.6908708328503797E-2</v>
      </c>
      <c r="E89" s="67">
        <v>2.6455237260448624E-2</v>
      </c>
      <c r="F89" s="67">
        <f t="shared" ref="F89" si="48">+F87/F88</f>
        <v>2.7358897027143472E-2</v>
      </c>
      <c r="G89" s="67">
        <f>+G87/G88</f>
        <v>2.7358897027143472E-2</v>
      </c>
      <c r="H89" s="67">
        <f>+H87/H88</f>
        <v>2.6114021506288578E-2</v>
      </c>
      <c r="I89" s="67">
        <f>+I87/I88</f>
        <v>2.8618869554652593E-2</v>
      </c>
      <c r="J89" s="67">
        <f t="shared" ref="J89:K89" si="49">+J87/J88</f>
        <v>2.5307112353034216E-2</v>
      </c>
      <c r="K89" s="67">
        <f t="shared" si="49"/>
        <v>2.7186910006293266E-2</v>
      </c>
      <c r="L89" s="67">
        <f>+L87/L88</f>
        <v>2.4415162549445944E-2</v>
      </c>
      <c r="M89" s="67">
        <f t="shared" ref="M89:AF89" si="50">+M87/M88</f>
        <v>2.4560247710652877E-2</v>
      </c>
      <c r="N89" s="67">
        <f>+N87/N88</f>
        <v>2.419114116257641E-2</v>
      </c>
      <c r="O89" s="67">
        <f t="shared" si="50"/>
        <v>2.419114116257641E-2</v>
      </c>
      <c r="P89" s="67">
        <f t="shared" si="50"/>
        <v>2.0059538143865061E-2</v>
      </c>
      <c r="Q89" s="67">
        <f t="shared" si="50"/>
        <v>2.3195641715749372E-2</v>
      </c>
      <c r="R89" s="67">
        <f t="shared" si="50"/>
        <v>1.9283060248916711E-2</v>
      </c>
      <c r="S89" s="67">
        <f t="shared" si="50"/>
        <v>2.0858072177190354E-2</v>
      </c>
      <c r="T89" s="67">
        <f t="shared" si="50"/>
        <v>1.8163676030374266E-2</v>
      </c>
      <c r="U89" s="67">
        <f t="shared" si="50"/>
        <v>1.8674278464954012E-2</v>
      </c>
      <c r="V89" s="67">
        <f t="shared" si="50"/>
        <v>1.7604876753215547E-2</v>
      </c>
      <c r="W89" s="67">
        <f t="shared" si="50"/>
        <v>1.7604876753215547E-2</v>
      </c>
      <c r="X89" s="67">
        <f t="shared" si="50"/>
        <v>1.6903331971365086E-2</v>
      </c>
      <c r="Y89" s="67">
        <f t="shared" si="50"/>
        <v>1.7679325449546836E-2</v>
      </c>
      <c r="Z89" s="67">
        <f t="shared" si="50"/>
        <v>1.6701381407263762E-2</v>
      </c>
      <c r="AA89" s="67">
        <f t="shared" si="50"/>
        <v>1.658356210431957E-2</v>
      </c>
      <c r="AB89" s="67">
        <f t="shared" si="50"/>
        <v>1.6835213655228852E-2</v>
      </c>
      <c r="AC89" s="67">
        <f t="shared" si="50"/>
        <v>1.659105638366818E-2</v>
      </c>
      <c r="AD89" s="67">
        <f t="shared" si="50"/>
        <v>1.6982634077306366E-2</v>
      </c>
      <c r="AE89" s="67">
        <f t="shared" si="50"/>
        <v>1.6982634077306366E-2</v>
      </c>
      <c r="AF89" s="67">
        <f t="shared" si="50"/>
        <v>1.7764733142813009E-2</v>
      </c>
    </row>
    <row r="90" spans="1:32" x14ac:dyDescent="0.25">
      <c r="B90" s="9"/>
      <c r="C90" s="9"/>
      <c r="D90" s="9"/>
      <c r="E90" s="9"/>
      <c r="F90" s="9"/>
      <c r="G90" s="9"/>
      <c r="H90" s="9"/>
      <c r="I90" s="9"/>
      <c r="J90" s="9"/>
      <c r="K90" s="8"/>
      <c r="L90" s="9"/>
      <c r="M90" s="9"/>
      <c r="N90" s="8"/>
      <c r="O90" s="9"/>
      <c r="P90" s="9"/>
      <c r="Q90" s="8"/>
      <c r="R90" s="9"/>
      <c r="S90" s="8"/>
      <c r="V90" s="8"/>
      <c r="W90" s="8"/>
      <c r="Z90" s="9"/>
      <c r="AA90" s="8"/>
      <c r="AB90" s="9"/>
      <c r="AC90" s="8"/>
      <c r="AD90" s="9"/>
      <c r="AE90" s="8"/>
      <c r="AF90" s="8"/>
    </row>
    <row r="91" spans="1:32" x14ac:dyDescent="0.25">
      <c r="A91" s="71" t="s">
        <v>71</v>
      </c>
      <c r="B91" s="72">
        <f>+B87</f>
        <v>1010.6666666666666</v>
      </c>
      <c r="C91" s="72">
        <f>+C87</f>
        <v>1020</v>
      </c>
      <c r="D91" s="72">
        <v>1006</v>
      </c>
      <c r="E91" s="72">
        <v>996</v>
      </c>
      <c r="F91" s="72">
        <f>+F87</f>
        <v>1016</v>
      </c>
      <c r="G91" s="72">
        <f>+G87</f>
        <v>1016</v>
      </c>
      <c r="H91" s="9">
        <v>985</v>
      </c>
      <c r="I91" s="72">
        <v>1060</v>
      </c>
      <c r="J91" s="9">
        <v>960</v>
      </c>
      <c r="K91" s="72">
        <v>1015.2</v>
      </c>
      <c r="L91" s="9">
        <f>+L87</f>
        <v>932</v>
      </c>
      <c r="M91" s="9">
        <f t="shared" ref="M91:AF91" si="51">+M87</f>
        <v>932</v>
      </c>
      <c r="N91" s="9">
        <f t="shared" si="51"/>
        <v>932</v>
      </c>
      <c r="O91" s="9">
        <f t="shared" si="51"/>
        <v>932</v>
      </c>
      <c r="P91" s="9">
        <f t="shared" si="51"/>
        <v>783</v>
      </c>
      <c r="Q91" s="9">
        <f t="shared" si="51"/>
        <v>892</v>
      </c>
      <c r="R91" s="72">
        <f t="shared" si="51"/>
        <v>754.66666666666663</v>
      </c>
      <c r="S91" s="9">
        <f t="shared" si="51"/>
        <v>808</v>
      </c>
      <c r="T91" s="9">
        <f t="shared" si="51"/>
        <v>716</v>
      </c>
      <c r="U91" s="9">
        <f t="shared" si="51"/>
        <v>736</v>
      </c>
      <c r="V91" s="9">
        <f t="shared" si="51"/>
        <v>696</v>
      </c>
      <c r="W91" s="9">
        <f t="shared" si="51"/>
        <v>696</v>
      </c>
      <c r="X91" s="9">
        <f t="shared" si="51"/>
        <v>604</v>
      </c>
      <c r="Y91" s="9">
        <f t="shared" si="51"/>
        <v>672</v>
      </c>
      <c r="Z91" s="72">
        <f t="shared" si="51"/>
        <v>581.33333333333337</v>
      </c>
      <c r="AA91" s="9">
        <f t="shared" si="51"/>
        <v>592</v>
      </c>
      <c r="AB91" s="9">
        <f t="shared" si="51"/>
        <v>576</v>
      </c>
      <c r="AC91" s="9">
        <f t="shared" si="51"/>
        <v>576</v>
      </c>
      <c r="AD91" s="9">
        <f t="shared" si="51"/>
        <v>576</v>
      </c>
      <c r="AE91" s="9">
        <f t="shared" si="51"/>
        <v>576</v>
      </c>
      <c r="AF91" s="9">
        <f t="shared" si="51"/>
        <v>598</v>
      </c>
    </row>
    <row r="92" spans="1:32" x14ac:dyDescent="0.25">
      <c r="A92" s="71" t="s">
        <v>74</v>
      </c>
      <c r="B92" s="72">
        <v>33.33333333333325</v>
      </c>
      <c r="C92" s="72">
        <v>32</v>
      </c>
      <c r="D92" s="72">
        <v>34</v>
      </c>
      <c r="E92" s="72">
        <v>36</v>
      </c>
      <c r="F92" s="72">
        <f>+G92</f>
        <v>32</v>
      </c>
      <c r="G92" s="72">
        <f>8*4</f>
        <v>32</v>
      </c>
      <c r="H92" s="72">
        <v>19</v>
      </c>
      <c r="I92" s="72">
        <v>12</v>
      </c>
      <c r="J92" s="72">
        <v>21.333333333333332</v>
      </c>
      <c r="K92" s="73">
        <v>12</v>
      </c>
      <c r="L92" s="9">
        <f>13*4/2</f>
        <v>26</v>
      </c>
      <c r="M92" s="9">
        <f>6*4</f>
        <v>24</v>
      </c>
      <c r="N92" s="8">
        <f>7*4/1</f>
        <v>28</v>
      </c>
      <c r="O92" s="9">
        <f>7*4</f>
        <v>28</v>
      </c>
      <c r="P92" s="9">
        <f>26*4/4</f>
        <v>26</v>
      </c>
      <c r="Q92" s="8">
        <f>4*4</f>
        <v>16</v>
      </c>
      <c r="R92" s="9">
        <v>22</v>
      </c>
      <c r="S92" s="8">
        <f>6*4</f>
        <v>24</v>
      </c>
      <c r="T92" s="8">
        <f>16*4/2</f>
        <v>32</v>
      </c>
      <c r="U92" s="8">
        <f>8*4</f>
        <v>32</v>
      </c>
      <c r="V92" s="8">
        <f>8*4/1</f>
        <v>32</v>
      </c>
      <c r="W92" s="8">
        <f>8*4</f>
        <v>32</v>
      </c>
      <c r="X92" s="9">
        <f>8*4/4</f>
        <v>8</v>
      </c>
      <c r="Y92" s="8">
        <f>8*4</f>
        <v>32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</row>
    <row r="93" spans="1:32" ht="16.5" customHeight="1" x14ac:dyDescent="0.25">
      <c r="A93" s="71" t="s">
        <v>75</v>
      </c>
      <c r="B93" s="59">
        <f>+B85</f>
        <v>45899.805351212504</v>
      </c>
      <c r="C93" s="59">
        <f>+(B84+D84)/2</f>
        <v>46126.610702425001</v>
      </c>
      <c r="D93" s="59">
        <v>46173.5</v>
      </c>
      <c r="E93" s="59">
        <v>46173.5</v>
      </c>
      <c r="F93" s="59">
        <f>+F85</f>
        <v>45673</v>
      </c>
      <c r="G93" s="59">
        <f>+(F84+H84)/2</f>
        <v>45673</v>
      </c>
      <c r="H93" s="59">
        <f>+H85</f>
        <v>45332.800000000003</v>
      </c>
      <c r="I93" s="59">
        <f>+(H84+J84)/2</f>
        <v>45406</v>
      </c>
      <c r="J93" s="59">
        <f>+J85</f>
        <v>45311.25</v>
      </c>
      <c r="K93" s="59">
        <f>+(J84+L84)/2</f>
        <v>45360</v>
      </c>
      <c r="L93" s="59">
        <f>+L85</f>
        <v>45284</v>
      </c>
      <c r="M93" s="59">
        <f>+(L84+N84)/2</f>
        <v>45428</v>
      </c>
      <c r="N93" s="59">
        <f>+N85</f>
        <v>45262.5</v>
      </c>
      <c r="O93" s="59">
        <f>+(N84+P84)/2</f>
        <v>45262.5</v>
      </c>
      <c r="P93" s="59">
        <f t="shared" ref="P93:AF93" si="52">+P85</f>
        <v>44390</v>
      </c>
      <c r="Q93" s="59">
        <f>+(P84+R84)/2</f>
        <v>44527</v>
      </c>
      <c r="R93" s="59">
        <f t="shared" si="52"/>
        <v>44238.5</v>
      </c>
      <c r="S93" s="59">
        <f>+(R84+T84)/2</f>
        <v>44257</v>
      </c>
      <c r="T93" s="59">
        <f t="shared" si="52"/>
        <v>44298.666666666664</v>
      </c>
      <c r="U93" s="59">
        <f>+(T84+V84)/2</f>
        <v>44441</v>
      </c>
      <c r="V93" s="59">
        <f t="shared" si="52"/>
        <v>44220</v>
      </c>
      <c r="W93" s="59">
        <f>+(V84+X84)/2</f>
        <v>44220</v>
      </c>
      <c r="X93" s="59">
        <f t="shared" si="52"/>
        <v>36648.800000000003</v>
      </c>
      <c r="Y93" s="59">
        <f>+(X84+Z84)/2</f>
        <v>40301</v>
      </c>
      <c r="Z93" s="59">
        <f t="shared" si="52"/>
        <v>34807.5</v>
      </c>
      <c r="AA93" s="59">
        <f>+(Z84+AB84)/2</f>
        <v>35698</v>
      </c>
      <c r="AB93" s="59">
        <f t="shared" si="52"/>
        <v>34214</v>
      </c>
      <c r="AC93" s="59">
        <f>+(AB84+AD84)/2</f>
        <v>34717.5</v>
      </c>
      <c r="AD93" s="59">
        <f t="shared" si="52"/>
        <v>33917</v>
      </c>
      <c r="AE93" s="59">
        <f>+(AD84+AF84)/2</f>
        <v>33917</v>
      </c>
      <c r="AF93" s="59">
        <f t="shared" si="52"/>
        <v>33662.199999999997</v>
      </c>
    </row>
    <row r="94" spans="1:32" ht="22.5" customHeight="1" thickBot="1" x14ac:dyDescent="0.3">
      <c r="A94" s="74" t="s">
        <v>76</v>
      </c>
      <c r="B94" s="67">
        <f>(B91+B92)/B93</f>
        <v>2.274519449508779E-2</v>
      </c>
      <c r="C94" s="67">
        <f>(C91+C92)/C93</f>
        <v>2.2806791654100298E-2</v>
      </c>
      <c r="D94" s="67">
        <v>2.2523741973209742E-2</v>
      </c>
      <c r="E94" s="67">
        <v>2.2350482419569665E-2</v>
      </c>
      <c r="F94" s="67">
        <f>(F91+F92)/F93</f>
        <v>2.2945722855954285E-2</v>
      </c>
      <c r="G94" s="67">
        <f t="shared" ref="G94:K94" si="53">(G91+G92)/G93</f>
        <v>2.2945722855954285E-2</v>
      </c>
      <c r="H94" s="67">
        <f t="shared" si="53"/>
        <v>2.2147319380228001E-2</v>
      </c>
      <c r="I94" s="67">
        <f>(I91+I92)/I93</f>
        <v>2.3609214641236841E-2</v>
      </c>
      <c r="J94" s="67">
        <f t="shared" si="53"/>
        <v>2.1657608945534132E-2</v>
      </c>
      <c r="K94" s="67">
        <f t="shared" si="53"/>
        <v>2.2645502645502646E-2</v>
      </c>
      <c r="L94" s="67">
        <f>(L91+L92)/L93</f>
        <v>2.1155374966875716E-2</v>
      </c>
      <c r="M94" s="67">
        <f t="shared" ref="M94:AF94" si="54">(M91+M92)/M93</f>
        <v>2.1044289865281323E-2</v>
      </c>
      <c r="N94" s="67">
        <f>(N91+N92)/N93</f>
        <v>2.1209610604805303E-2</v>
      </c>
      <c r="O94" s="67">
        <f t="shared" si="54"/>
        <v>2.1209610604805303E-2</v>
      </c>
      <c r="P94" s="67">
        <f t="shared" si="54"/>
        <v>1.8224825411128631E-2</v>
      </c>
      <c r="Q94" s="67">
        <f t="shared" si="54"/>
        <v>2.0392121634064724E-2</v>
      </c>
      <c r="R94" s="67">
        <f t="shared" si="54"/>
        <v>1.7556351744897919E-2</v>
      </c>
      <c r="S94" s="67">
        <f t="shared" si="54"/>
        <v>1.8799285988657162E-2</v>
      </c>
      <c r="T94" s="67">
        <f t="shared" si="54"/>
        <v>1.6885384059715867E-2</v>
      </c>
      <c r="U94" s="67">
        <f t="shared" si="54"/>
        <v>1.7281339303796044E-2</v>
      </c>
      <c r="V94" s="67">
        <f t="shared" si="54"/>
        <v>1.6463138851198551E-2</v>
      </c>
      <c r="W94" s="67">
        <f t="shared" si="54"/>
        <v>1.6463138851198551E-2</v>
      </c>
      <c r="X94" s="67">
        <f t="shared" si="54"/>
        <v>1.6699046080635653E-2</v>
      </c>
      <c r="Y94" s="67">
        <f t="shared" si="54"/>
        <v>1.7468549167514454E-2</v>
      </c>
      <c r="Z94" s="67">
        <f t="shared" si="54"/>
        <v>1.6701381407263762E-2</v>
      </c>
      <c r="AA94" s="67">
        <f t="shared" si="54"/>
        <v>1.658356210431957E-2</v>
      </c>
      <c r="AB94" s="67">
        <f t="shared" si="54"/>
        <v>1.6835213655228852E-2</v>
      </c>
      <c r="AC94" s="67">
        <f t="shared" si="54"/>
        <v>1.659105638366818E-2</v>
      </c>
      <c r="AD94" s="67">
        <f t="shared" si="54"/>
        <v>1.6982634077306366E-2</v>
      </c>
      <c r="AE94" s="67">
        <f t="shared" si="54"/>
        <v>1.6982634077306366E-2</v>
      </c>
      <c r="AF94" s="67">
        <f t="shared" si="54"/>
        <v>1.7764733142813009E-2</v>
      </c>
    </row>
    <row r="97" spans="1:13" x14ac:dyDescent="0.25">
      <c r="J97" s="6">
        <f>+J91*3/4</f>
        <v>720</v>
      </c>
    </row>
    <row r="98" spans="1:13" x14ac:dyDescent="0.25">
      <c r="C98" s="75"/>
      <c r="J98" s="6">
        <f>+J92*3/4</f>
        <v>16</v>
      </c>
    </row>
    <row r="99" spans="1:13" x14ac:dyDescent="0.25">
      <c r="C99" s="68"/>
      <c r="E99" s="68"/>
      <c r="G99" s="68"/>
      <c r="J99" s="6">
        <f>+J98+J97</f>
        <v>736</v>
      </c>
    </row>
    <row r="101" spans="1:13" x14ac:dyDescent="0.25">
      <c r="A101" s="76"/>
    </row>
    <row r="104" spans="1:13" x14ac:dyDescent="0.25">
      <c r="M104" s="58"/>
    </row>
    <row r="105" spans="1:13" x14ac:dyDescent="0.25">
      <c r="M105" s="58"/>
    </row>
  </sheetData>
  <pageMargins left="0.7" right="0.7" top="0.75" bottom="0.75" header="0.3" footer="0.3"/>
  <pageSetup paperSize="9" orientation="portrait" horizontalDpi="144" verticalDpi="144" r:id="rId1"/>
  <headerFooter>
    <oddHeader>&amp;R&amp;"Calibri"&amp;12&amp;K008000 Intern - Helgeland&amp;1#_x000D_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9FF85925E31E44A664B0718B310EBF" ma:contentTypeVersion="16" ma:contentTypeDescription="Opprett et nytt dokument." ma:contentTypeScope="" ma:versionID="7d134ddf12603aa7addcf1a663fb68bd">
  <xsd:schema xmlns:xsd="http://www.w3.org/2001/XMLSchema" xmlns:xs="http://www.w3.org/2001/XMLSchema" xmlns:p="http://schemas.microsoft.com/office/2006/metadata/properties" xmlns:ns1="http://schemas.microsoft.com/sharepoint/v3" xmlns:ns2="4c56c994-6492-4d3e-bcc2-febbf4354e3b" xmlns:ns3="5ce2507c-05c6-4d03-a667-988d931b8684" targetNamespace="http://schemas.microsoft.com/office/2006/metadata/properties" ma:root="true" ma:fieldsID="0f6dabbd974d6c74d949ad1d8a997b58" ns1:_="" ns2:_="" ns3:_="">
    <xsd:import namespace="http://schemas.microsoft.com/sharepoint/v3"/>
    <xsd:import namespace="4c56c994-6492-4d3e-bcc2-febbf4354e3b"/>
    <xsd:import namespace="5ce2507c-05c6-4d03-a667-988d931b86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6c994-6492-4d3e-bcc2-febbf4354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98bd757e-5e9e-4f46-8b01-27acfb085a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2507c-05c6-4d03-a667-988d931b868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bfa2b7-cd92-47cf-b229-6566229fc77c}" ma:internalName="TaxCatchAll" ma:showField="CatchAllData" ma:web="5ce2507c-05c6-4d03-a667-988d931b86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ce2507c-05c6-4d03-a667-988d931b8684" xsi:nil="true"/>
    <lcf76f155ced4ddcb4097134ff3c332f xmlns="4c56c994-6492-4d3e-bcc2-febbf4354e3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5D1B3EE-6034-41D8-829E-9ABE36ACB615}"/>
</file>

<file path=customXml/itemProps2.xml><?xml version="1.0" encoding="utf-8"?>
<ds:datastoreItem xmlns:ds="http://schemas.openxmlformats.org/officeDocument/2006/customXml" ds:itemID="{E85FFB60-1973-493B-87E6-7AD23510C077}"/>
</file>

<file path=customXml/itemProps3.xml><?xml version="1.0" encoding="utf-8"?>
<ds:datastoreItem xmlns:ds="http://schemas.openxmlformats.org/officeDocument/2006/customXml" ds:itemID="{174765F9-4A45-4E77-80A3-3136B3E54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APM</vt:lpstr>
    </vt:vector>
  </TitlesOfParts>
  <Company>SB1A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Austvik Tande</dc:creator>
  <cp:lastModifiedBy>Georg Austvik Tande</cp:lastModifiedBy>
  <dcterms:created xsi:type="dcterms:W3CDTF">2024-10-31T12:50:24Z</dcterms:created>
  <dcterms:modified xsi:type="dcterms:W3CDTF">2024-10-31T12:52:22Z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5a82697-3838-400b-8098-4bd38bbe3e7f_Enabled">
    <vt:lpwstr>true</vt:lpwstr>
  </property>
  <property fmtid="{D5CDD505-2E9C-101B-9397-08002B2CF9AE}" pid="3" name="MSIP_Label_25a82697-3838-400b-8098-4bd38bbe3e7f_SetDate">
    <vt:lpwstr>2024-10-31T12:52:03Z</vt:lpwstr>
  </property>
  <property fmtid="{D5CDD505-2E9C-101B-9397-08002B2CF9AE}" pid="4" name="MSIP_Label_25a82697-3838-400b-8098-4bd38bbe3e7f_Method">
    <vt:lpwstr>Standard</vt:lpwstr>
  </property>
  <property fmtid="{D5CDD505-2E9C-101B-9397-08002B2CF9AE}" pid="5" name="MSIP_Label_25a82697-3838-400b-8098-4bd38bbe3e7f_Name">
    <vt:lpwstr>Intern - Helgeland</vt:lpwstr>
  </property>
  <property fmtid="{D5CDD505-2E9C-101B-9397-08002B2CF9AE}" pid="6" name="MSIP_Label_25a82697-3838-400b-8098-4bd38bbe3e7f_SiteId">
    <vt:lpwstr>491e8cc4-2204-4312-8565-17f85046df01</vt:lpwstr>
  </property>
  <property fmtid="{D5CDD505-2E9C-101B-9397-08002B2CF9AE}" pid="7" name="MSIP_Label_25a82697-3838-400b-8098-4bd38bbe3e7f_ActionId">
    <vt:lpwstr>7d03eb99-87f9-4e9f-8dfb-b6bcaabf9503</vt:lpwstr>
  </property>
  <property fmtid="{D5CDD505-2E9C-101B-9397-08002B2CF9AE}" pid="8" name="MSIP_Label_25a82697-3838-400b-8098-4bd38bbe3e7f_ContentBits">
    <vt:lpwstr>1</vt:lpwstr>
  </property>
  <property fmtid="{D5CDD505-2E9C-101B-9397-08002B2CF9AE}" pid="9" name="ContentTypeId">
    <vt:lpwstr>0x010100C59FF85925E31E44A664B0718B310EBF</vt:lpwstr>
  </property>
</Properties>
</file>